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ivotTables/pivotTable1.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codeName="{6BE1CDB9-6C1C-A5B6-3FC1-E231EC3C600E}"/>
  <workbookPr codeName="ThisWorkbook" hidePivotFieldList="1" defaultThemeVersion="166925"/>
  <mc:AlternateContent xmlns:mc="http://schemas.openxmlformats.org/markup-compatibility/2006">
    <mc:Choice Requires="x15">
      <x15ac:absPath xmlns:x15ac="http://schemas.microsoft.com/office/spreadsheetml/2010/11/ac" url="/Users/lagaleanoe/Documents/LAGE/ARCLAGE/FdLSumapaz/Tareas/PDLSumapaz2020-2024/PDLfin/"/>
    </mc:Choice>
  </mc:AlternateContent>
  <xr:revisionPtr revIDLastSave="0" documentId="13_ncr:1_{7F720BB4-83ED-9343-A918-17DCC58DE74B}" xr6:coauthVersionLast="46" xr6:coauthVersionMax="46" xr10:uidLastSave="{00000000-0000-0000-0000-000000000000}"/>
  <bookViews>
    <workbookView xWindow="0" yWindow="0" windowWidth="28800" windowHeight="18000" tabRatio="754" activeTab="3" xr2:uid="{00000000-000D-0000-FFFF-FFFF00000000}"/>
  </bookViews>
  <sheets>
    <sheet name="Proyección Presupuestal Local" sheetId="6" r:id="rId1"/>
    <sheet name="Equipamientos" sheetId="10" r:id="rId2"/>
    <sheet name="Cálculos PP" sheetId="5" r:id="rId3"/>
    <sheet name="PORCENTAJE FINAL" sheetId="8" r:id="rId4"/>
  </sheets>
  <definedNames>
    <definedName name="_xlnm._FilterDatabase" localSheetId="2" hidden="1">'Cálculos PP'!$A$4:$M$54</definedName>
    <definedName name="_xlnm._FilterDatabase" localSheetId="1" hidden="1">Equipamientos!$A$2:$C$2</definedName>
    <definedName name="_xlnm._FilterDatabase" localSheetId="0" hidden="1">'Proyección Presupuestal Local'!$A$3:$F$3</definedName>
    <definedName name="BASEPP">'Cálculos PP'!$A$4:$M$53</definedName>
    <definedName name="LINEA" localSheetId="2">#REF!</definedName>
    <definedName name="LINEA" localSheetId="1">#REF!</definedName>
    <definedName name="LOCALIDADES">'Proyección Presupuestal Local'!$A$4:$A$23</definedName>
    <definedName name="PRESUPUESTO">'Proyección Presupuestal Local'!$A$4:$E$23</definedName>
    <definedName name="SOBRETASA">'Proyección Presupuestal Local'!$A$38:$F$57</definedName>
  </definedNames>
  <calcPr calcId="191029"/>
  <pivotCaches>
    <pivotCache cacheId="12"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9" i="5" l="1"/>
  <c r="I12" i="5"/>
  <c r="I10" i="5"/>
  <c r="C1" i="5" l="1"/>
  <c r="AW3" i="10" s="1"/>
  <c r="H27" i="5" s="1"/>
  <c r="I36" i="5"/>
  <c r="I6" i="5"/>
  <c r="I7" i="5"/>
  <c r="I8" i="5"/>
  <c r="I9" i="5"/>
  <c r="I11" i="5"/>
  <c r="I13" i="5"/>
  <c r="I14" i="5"/>
  <c r="I18" i="5"/>
  <c r="I20" i="5"/>
  <c r="I21" i="5"/>
  <c r="I22" i="5"/>
  <c r="I23" i="5"/>
  <c r="I24" i="5"/>
  <c r="I25" i="5"/>
  <c r="I26" i="5"/>
  <c r="I28" i="5"/>
  <c r="I37" i="5"/>
  <c r="I38" i="5"/>
  <c r="I39" i="5"/>
  <c r="I40" i="5"/>
  <c r="I41" i="5"/>
  <c r="I43" i="5"/>
  <c r="I44" i="5"/>
  <c r="I45" i="5"/>
  <c r="I46" i="5"/>
  <c r="I47" i="5"/>
  <c r="I48" i="5"/>
  <c r="I49" i="5"/>
  <c r="I50" i="5"/>
  <c r="I51" i="5"/>
  <c r="I52" i="5"/>
  <c r="I53" i="5"/>
  <c r="I5" i="5"/>
  <c r="K54" i="5"/>
  <c r="D54" i="5"/>
  <c r="E5" i="5" s="1"/>
  <c r="F5" i="6"/>
  <c r="F6" i="6"/>
  <c r="F7" i="6"/>
  <c r="F8" i="6"/>
  <c r="F9" i="6"/>
  <c r="F10" i="6"/>
  <c r="F11" i="6"/>
  <c r="F12" i="6"/>
  <c r="F13" i="6"/>
  <c r="F14" i="6"/>
  <c r="F15" i="6"/>
  <c r="F16" i="6"/>
  <c r="F17" i="6"/>
  <c r="F18" i="6"/>
  <c r="F19" i="6"/>
  <c r="F20" i="6"/>
  <c r="F21" i="6"/>
  <c r="F22" i="6"/>
  <c r="F23" i="6"/>
  <c r="F4" i="6"/>
  <c r="F39" i="6"/>
  <c r="F38" i="6"/>
  <c r="E3" i="6"/>
  <c r="D3" i="6"/>
  <c r="F3" i="6" s="1"/>
  <c r="C3" i="6"/>
  <c r="B3" i="6"/>
  <c r="B59" i="5"/>
  <c r="C59" i="5" s="1"/>
  <c r="B60" i="5"/>
  <c r="C60" i="5" s="1"/>
  <c r="B61" i="5"/>
  <c r="C61" i="5" s="1"/>
  <c r="B62" i="5"/>
  <c r="C62" i="5" s="1"/>
  <c r="AV19" i="10"/>
  <c r="AV20" i="10"/>
  <c r="AV21" i="10"/>
  <c r="AU19" i="10"/>
  <c r="AU20" i="10"/>
  <c r="AU21" i="10"/>
  <c r="AT19" i="10"/>
  <c r="AT20" i="10"/>
  <c r="AT21" i="10"/>
  <c r="AS19" i="10"/>
  <c r="AS20" i="10"/>
  <c r="AS21" i="10"/>
  <c r="AR19" i="10"/>
  <c r="AR20" i="10"/>
  <c r="AR21" i="10"/>
  <c r="AQ19" i="10"/>
  <c r="AQ20" i="10"/>
  <c r="AQ21" i="10"/>
  <c r="AP19" i="10"/>
  <c r="AP20" i="10"/>
  <c r="AP21" i="10"/>
  <c r="AO19" i="10"/>
  <c r="AO20" i="10"/>
  <c r="AO21" i="10"/>
  <c r="AN19" i="10"/>
  <c r="AN20" i="10"/>
  <c r="AN21" i="10"/>
  <c r="AM19" i="10"/>
  <c r="AM20" i="10"/>
  <c r="AM21" i="10"/>
  <c r="AL19" i="10"/>
  <c r="AL20" i="10"/>
  <c r="AL21" i="10"/>
  <c r="AK19" i="10"/>
  <c r="AK20" i="10"/>
  <c r="AK21" i="10"/>
  <c r="AJ19" i="10"/>
  <c r="AJ20" i="10"/>
  <c r="AJ21" i="10"/>
  <c r="AI19" i="10"/>
  <c r="AI20" i="10"/>
  <c r="AI21" i="10"/>
  <c r="AH19" i="10"/>
  <c r="AH20" i="10"/>
  <c r="AH21" i="10"/>
  <c r="AG19" i="10"/>
  <c r="AG20" i="10"/>
  <c r="AG21" i="10"/>
  <c r="AF19" i="10"/>
  <c r="AF20" i="10"/>
  <c r="AF21" i="10"/>
  <c r="AE19" i="10"/>
  <c r="AE20" i="10"/>
  <c r="AE21" i="10"/>
  <c r="AD19" i="10"/>
  <c r="AD20" i="10"/>
  <c r="AD21" i="10"/>
  <c r="AC19" i="10"/>
  <c r="AC20" i="10"/>
  <c r="AC21" i="10"/>
  <c r="AU15" i="10"/>
  <c r="AU14" i="10"/>
  <c r="AS14" i="10"/>
  <c r="AR14" i="10"/>
  <c r="AO14" i="10"/>
  <c r="AN14" i="10"/>
  <c r="AK14" i="10"/>
  <c r="AJ14" i="10"/>
  <c r="AI14" i="10"/>
  <c r="AH14" i="10"/>
  <c r="AE14" i="10"/>
  <c r="AD14" i="10"/>
  <c r="AU10" i="10"/>
  <c r="AS10" i="10"/>
  <c r="AR10" i="10"/>
  <c r="AO10" i="10"/>
  <c r="AN10" i="10"/>
  <c r="AM10" i="10"/>
  <c r="AL10" i="10"/>
  <c r="AK10" i="10"/>
  <c r="AJ10" i="10"/>
  <c r="AI10" i="10"/>
  <c r="AH10" i="10"/>
  <c r="AE10" i="10"/>
  <c r="AD10" i="10"/>
  <c r="AC10" i="10"/>
  <c r="AV7" i="10"/>
  <c r="AT7" i="10"/>
  <c r="AS7" i="10"/>
  <c r="AR7" i="10"/>
  <c r="AQ7" i="10"/>
  <c r="AP7" i="10"/>
  <c r="AO7" i="10"/>
  <c r="AN7" i="10"/>
  <c r="AM7" i="10"/>
  <c r="AL7" i="10"/>
  <c r="AK7" i="10"/>
  <c r="AI7" i="10"/>
  <c r="AH7" i="10"/>
  <c r="AG7" i="10"/>
  <c r="AF7" i="10"/>
  <c r="AE7" i="10"/>
  <c r="AD7" i="10"/>
  <c r="AC7" i="10"/>
  <c r="AT3" i="10"/>
  <c r="AJ3" i="10"/>
  <c r="AF3" i="10"/>
  <c r="AU18" i="10"/>
  <c r="AU17" i="10"/>
  <c r="AU16" i="10"/>
  <c r="AU7" i="10"/>
  <c r="AU4" i="10"/>
  <c r="AU3" i="10"/>
  <c r="AU5" i="10"/>
  <c r="AU13" i="10"/>
  <c r="AU12" i="10"/>
  <c r="AU11" i="10"/>
  <c r="AU9" i="10"/>
  <c r="AU8" i="10"/>
  <c r="AU6" i="10"/>
  <c r="AV5" i="10"/>
  <c r="AV6" i="10"/>
  <c r="AV8" i="10"/>
  <c r="AV9" i="10"/>
  <c r="AV10" i="10"/>
  <c r="AV11" i="10"/>
  <c r="AV12" i="10"/>
  <c r="AV13" i="10"/>
  <c r="AV14" i="10"/>
  <c r="AV15" i="10"/>
  <c r="AV16" i="10"/>
  <c r="AV17" i="10"/>
  <c r="AV18" i="10"/>
  <c r="AV3" i="10"/>
  <c r="AT4" i="10"/>
  <c r="AT5" i="10"/>
  <c r="AT6" i="10"/>
  <c r="AT8" i="10"/>
  <c r="AT9" i="10"/>
  <c r="AT10" i="10"/>
  <c r="AT11" i="10"/>
  <c r="AT12" i="10"/>
  <c r="AT13" i="10"/>
  <c r="AT14" i="10"/>
  <c r="AT15" i="10"/>
  <c r="AT16" i="10"/>
  <c r="AT17" i="10"/>
  <c r="AT18" i="10"/>
  <c r="AS4" i="10"/>
  <c r="AS5" i="10"/>
  <c r="AS6" i="10"/>
  <c r="AS8" i="10"/>
  <c r="AS9" i="10"/>
  <c r="AS11" i="10"/>
  <c r="AS12" i="10"/>
  <c r="AS13" i="10"/>
  <c r="AS15" i="10"/>
  <c r="AS16" i="10"/>
  <c r="AS17" i="10"/>
  <c r="AS18" i="10"/>
  <c r="AS3" i="10"/>
  <c r="AR4" i="10"/>
  <c r="AR5" i="10"/>
  <c r="AR6" i="10"/>
  <c r="AR8" i="10"/>
  <c r="AR9" i="10"/>
  <c r="AR11" i="10"/>
  <c r="AR12" i="10"/>
  <c r="AR13" i="10"/>
  <c r="AR15" i="10"/>
  <c r="AR16" i="10"/>
  <c r="AR17" i="10"/>
  <c r="AR18" i="10"/>
  <c r="AR3" i="10"/>
  <c r="AQ4" i="10"/>
  <c r="AQ5" i="10"/>
  <c r="AQ6" i="10"/>
  <c r="AQ8" i="10"/>
  <c r="AQ9" i="10"/>
  <c r="AQ10" i="10"/>
  <c r="AQ11" i="10"/>
  <c r="AQ12" i="10"/>
  <c r="AQ13" i="10"/>
  <c r="AQ14" i="10"/>
  <c r="AQ15" i="10"/>
  <c r="AQ16" i="10"/>
  <c r="AQ17" i="10"/>
  <c r="AQ18" i="10"/>
  <c r="AQ3" i="10"/>
  <c r="AP4" i="10"/>
  <c r="AP5" i="10"/>
  <c r="AP6" i="10"/>
  <c r="AP8" i="10"/>
  <c r="AP9" i="10"/>
  <c r="AP10" i="10"/>
  <c r="AP11" i="10"/>
  <c r="AP12" i="10"/>
  <c r="AP13" i="10"/>
  <c r="AP14" i="10"/>
  <c r="AP15" i="10"/>
  <c r="AP16" i="10"/>
  <c r="AP17" i="10"/>
  <c r="AP18" i="10"/>
  <c r="AP3" i="10"/>
  <c r="AO4" i="10"/>
  <c r="AO5" i="10"/>
  <c r="AO6" i="10"/>
  <c r="AO8" i="10"/>
  <c r="AO9" i="10"/>
  <c r="AO11" i="10"/>
  <c r="AO12" i="10"/>
  <c r="AO13" i="10"/>
  <c r="AO15" i="10"/>
  <c r="AO16" i="10"/>
  <c r="AO17" i="10"/>
  <c r="AO18" i="10"/>
  <c r="AO3" i="10"/>
  <c r="AN4" i="10"/>
  <c r="AN5" i="10"/>
  <c r="AN6" i="10"/>
  <c r="AN8" i="10"/>
  <c r="AN9" i="10"/>
  <c r="AN11" i="10"/>
  <c r="AN12" i="10"/>
  <c r="AN13" i="10"/>
  <c r="AN15" i="10"/>
  <c r="AN16" i="10"/>
  <c r="AN17" i="10"/>
  <c r="AN18" i="10"/>
  <c r="AN3" i="10"/>
  <c r="AM4" i="10"/>
  <c r="AM5" i="10"/>
  <c r="AM6" i="10"/>
  <c r="AM8" i="10"/>
  <c r="AM9" i="10"/>
  <c r="AM11" i="10"/>
  <c r="AM12" i="10"/>
  <c r="AM13" i="10"/>
  <c r="AM14" i="10"/>
  <c r="AM15" i="10"/>
  <c r="AM16" i="10"/>
  <c r="AM17" i="10"/>
  <c r="AM18" i="10"/>
  <c r="AM3" i="10"/>
  <c r="AL4" i="10"/>
  <c r="AL5" i="10"/>
  <c r="AL6" i="10"/>
  <c r="AL8" i="10"/>
  <c r="AL9" i="10"/>
  <c r="AL11" i="10"/>
  <c r="AL12" i="10"/>
  <c r="AL13" i="10"/>
  <c r="AL14" i="10"/>
  <c r="AL15" i="10"/>
  <c r="AL16" i="10"/>
  <c r="AL17" i="10"/>
  <c r="AL18" i="10"/>
  <c r="AL3" i="10"/>
  <c r="AK4" i="10"/>
  <c r="AK5" i="10"/>
  <c r="AK6" i="10"/>
  <c r="AK8" i="10"/>
  <c r="AK9" i="10"/>
  <c r="AK11" i="10"/>
  <c r="AK12" i="10"/>
  <c r="AK13" i="10"/>
  <c r="AK15" i="10"/>
  <c r="AK16" i="10"/>
  <c r="AK17" i="10"/>
  <c r="AK18" i="10"/>
  <c r="AK3" i="10"/>
  <c r="AJ4" i="10"/>
  <c r="AJ5" i="10"/>
  <c r="AJ6" i="10"/>
  <c r="AJ7" i="10"/>
  <c r="AJ8" i="10"/>
  <c r="AJ9" i="10"/>
  <c r="AJ11" i="10"/>
  <c r="AJ12" i="10"/>
  <c r="AJ13" i="10"/>
  <c r="AJ15" i="10"/>
  <c r="AJ16" i="10"/>
  <c r="AJ17" i="10"/>
  <c r="AJ18" i="10"/>
  <c r="AI4" i="10"/>
  <c r="AI5" i="10"/>
  <c r="AI6" i="10"/>
  <c r="AI8" i="10"/>
  <c r="AI9" i="10"/>
  <c r="AI11" i="10"/>
  <c r="AI12" i="10"/>
  <c r="AI13" i="10"/>
  <c r="AI15" i="10"/>
  <c r="AI16" i="10"/>
  <c r="AI17" i="10"/>
  <c r="AI18" i="10"/>
  <c r="AI3" i="10"/>
  <c r="AH4" i="10"/>
  <c r="AH5" i="10"/>
  <c r="AH6" i="10"/>
  <c r="AH8" i="10"/>
  <c r="AH9" i="10"/>
  <c r="AH11" i="10"/>
  <c r="AH12" i="10"/>
  <c r="AH13" i="10"/>
  <c r="AH15" i="10"/>
  <c r="AH16" i="10"/>
  <c r="AH17" i="10"/>
  <c r="AH18" i="10"/>
  <c r="AH3" i="10"/>
  <c r="AG4" i="10"/>
  <c r="AG5" i="10"/>
  <c r="AG6" i="10"/>
  <c r="AG8" i="10"/>
  <c r="AG9" i="10"/>
  <c r="AG10" i="10"/>
  <c r="AG11" i="10"/>
  <c r="AG12" i="10"/>
  <c r="AG13" i="10"/>
  <c r="AG14" i="10"/>
  <c r="AG15" i="10"/>
  <c r="AG16" i="10"/>
  <c r="AG17" i="10"/>
  <c r="AG18" i="10"/>
  <c r="AG3" i="10"/>
  <c r="AF4" i="10"/>
  <c r="AF5" i="10"/>
  <c r="AF6" i="10"/>
  <c r="AF8" i="10"/>
  <c r="AF9" i="10"/>
  <c r="AF10" i="10"/>
  <c r="AF11" i="10"/>
  <c r="AF12" i="10"/>
  <c r="AF13" i="10"/>
  <c r="AF14" i="10"/>
  <c r="AF15" i="10"/>
  <c r="AF16" i="10"/>
  <c r="AF17" i="10"/>
  <c r="AF18" i="10"/>
  <c r="AE4" i="10"/>
  <c r="AE5" i="10"/>
  <c r="AE6" i="10"/>
  <c r="AE8" i="10"/>
  <c r="AE9" i="10"/>
  <c r="AE11" i="10"/>
  <c r="AE12" i="10"/>
  <c r="AE13" i="10"/>
  <c r="AE15" i="10"/>
  <c r="AE16" i="10"/>
  <c r="AE17" i="10"/>
  <c r="AE18" i="10"/>
  <c r="AE3" i="10"/>
  <c r="AD4" i="10"/>
  <c r="AD5" i="10"/>
  <c r="AD6" i="10"/>
  <c r="AD8" i="10"/>
  <c r="AD9" i="10"/>
  <c r="AD11" i="10"/>
  <c r="AD12" i="10"/>
  <c r="AD13" i="10"/>
  <c r="AD15" i="10"/>
  <c r="AD16" i="10"/>
  <c r="AD17" i="10"/>
  <c r="AD18" i="10"/>
  <c r="AD3" i="10"/>
  <c r="AC4" i="10"/>
  <c r="AC5" i="10"/>
  <c r="AC6" i="10"/>
  <c r="AC8" i="10"/>
  <c r="AC9" i="10"/>
  <c r="AC11" i="10"/>
  <c r="AC12" i="10"/>
  <c r="AC13" i="10"/>
  <c r="AC14" i="10"/>
  <c r="AC15" i="10"/>
  <c r="AC16" i="10"/>
  <c r="AC17" i="10"/>
  <c r="AC18" i="10"/>
  <c r="AC3" i="10"/>
  <c r="F40" i="6"/>
  <c r="F41" i="6"/>
  <c r="F42" i="6"/>
  <c r="F43" i="6"/>
  <c r="F44" i="6"/>
  <c r="F45" i="6"/>
  <c r="F46" i="6"/>
  <c r="F47" i="6"/>
  <c r="F48" i="6"/>
  <c r="F49" i="6"/>
  <c r="F50" i="6"/>
  <c r="F51" i="6"/>
  <c r="F52" i="6"/>
  <c r="F53" i="6"/>
  <c r="F54" i="6"/>
  <c r="F55" i="6"/>
  <c r="F56" i="6"/>
  <c r="F57" i="6"/>
  <c r="G64" i="5" s="1"/>
  <c r="C37" i="6"/>
  <c r="D37" i="6"/>
  <c r="E37" i="6"/>
  <c r="B37" i="6"/>
  <c r="AW18" i="10" l="1"/>
  <c r="H42" i="5" s="1"/>
  <c r="AW4" i="10"/>
  <c r="AW11" i="10"/>
  <c r="AW9" i="10"/>
  <c r="AW6" i="10"/>
  <c r="AW20" i="10"/>
  <c r="H16" i="5" s="1"/>
  <c r="AW10" i="10"/>
  <c r="H31" i="5" s="1"/>
  <c r="AW8" i="10"/>
  <c r="AW7" i="10"/>
  <c r="AW21" i="10"/>
  <c r="H17" i="5" s="1"/>
  <c r="AW19" i="10"/>
  <c r="H15" i="5" s="1"/>
  <c r="AW17" i="10"/>
  <c r="AW13" i="10"/>
  <c r="AW5" i="10"/>
  <c r="AW14" i="10"/>
  <c r="H32" i="5" s="1"/>
  <c r="AW16" i="10"/>
  <c r="H34" i="5" s="1"/>
  <c r="I34" i="5" s="1"/>
  <c r="B63" i="5"/>
  <c r="F37" i="6"/>
  <c r="AW15" i="10"/>
  <c r="H33" i="5" s="1"/>
  <c r="AW12" i="10"/>
  <c r="E53" i="5"/>
  <c r="E46" i="5"/>
  <c r="E44" i="5"/>
  <c r="E41" i="5"/>
  <c r="E42" i="5"/>
  <c r="E47" i="5"/>
  <c r="E17" i="5"/>
  <c r="E52" i="5"/>
  <c r="E15" i="5"/>
  <c r="E48" i="5"/>
  <c r="E22" i="5"/>
  <c r="E36" i="5"/>
  <c r="E6" i="5"/>
  <c r="E26" i="5"/>
  <c r="E27" i="5"/>
  <c r="E32" i="5"/>
  <c r="E12" i="5"/>
  <c r="E14" i="5"/>
  <c r="E33" i="5"/>
  <c r="E19" i="5"/>
  <c r="E8" i="5"/>
  <c r="E45" i="5"/>
  <c r="E10" i="5"/>
  <c r="E24" i="5"/>
  <c r="E30" i="5"/>
  <c r="E13" i="5"/>
  <c r="E39" i="5"/>
  <c r="E49" i="5"/>
  <c r="E43" i="5"/>
  <c r="E18" i="5"/>
  <c r="E29" i="5"/>
  <c r="E20" i="5"/>
  <c r="E35" i="5"/>
  <c r="E7" i="5"/>
  <c r="E31" i="5"/>
  <c r="E11" i="5"/>
  <c r="E16" i="5"/>
  <c r="E25" i="5"/>
  <c r="E34" i="5"/>
  <c r="E37" i="5"/>
  <c r="E23" i="5"/>
  <c r="E38" i="5"/>
  <c r="E28" i="5"/>
  <c r="E50" i="5"/>
  <c r="E21" i="5"/>
  <c r="E40" i="5"/>
  <c r="E51" i="5"/>
  <c r="E9" i="5"/>
  <c r="C63" i="5"/>
  <c r="F18" i="5" l="1"/>
  <c r="G18" i="5" s="1"/>
  <c r="J18" i="5" s="1"/>
  <c r="L18" i="5" s="1"/>
  <c r="F35" i="5"/>
  <c r="G35" i="5" s="1"/>
  <c r="I35" i="5" s="1"/>
  <c r="J35" i="5" s="1"/>
  <c r="L35" i="5" s="1"/>
  <c r="F53" i="5"/>
  <c r="G53" i="5" s="1"/>
  <c r="J53" i="5" s="1"/>
  <c r="L53" i="5" s="1"/>
  <c r="J74" i="5"/>
  <c r="F42" i="5"/>
  <c r="G42" i="5" s="1"/>
  <c r="F5" i="5"/>
  <c r="G5" i="5" s="1"/>
  <c r="F38" i="5"/>
  <c r="G38" i="5" s="1"/>
  <c r="J38" i="5" s="1"/>
  <c r="L38" i="5" s="1"/>
  <c r="F25" i="5"/>
  <c r="G25" i="5" s="1"/>
  <c r="J25" i="5" s="1"/>
  <c r="L25" i="5" s="1"/>
  <c r="F11" i="5"/>
  <c r="G11" i="5" s="1"/>
  <c r="J11" i="5" s="1"/>
  <c r="L11" i="5" s="1"/>
  <c r="F7" i="5"/>
  <c r="G7" i="5" s="1"/>
  <c r="J7" i="5" s="1"/>
  <c r="L7" i="5" s="1"/>
  <c r="F49" i="5"/>
  <c r="G49" i="5" s="1"/>
  <c r="J49" i="5" s="1"/>
  <c r="L49" i="5" s="1"/>
  <c r="F13" i="5"/>
  <c r="G13" i="5" s="1"/>
  <c r="J13" i="5" s="1"/>
  <c r="L13" i="5" s="1"/>
  <c r="F45" i="5"/>
  <c r="G45" i="5" s="1"/>
  <c r="J45" i="5" s="1"/>
  <c r="L45" i="5" s="1"/>
  <c r="F19" i="5"/>
  <c r="G19" i="5" s="1"/>
  <c r="J19" i="5" s="1"/>
  <c r="L19" i="5" s="1"/>
  <c r="F14" i="5"/>
  <c r="G14" i="5" s="1"/>
  <c r="J14" i="5" s="1"/>
  <c r="L14" i="5" s="1"/>
  <c r="F32" i="5"/>
  <c r="G32" i="5" s="1"/>
  <c r="I32" i="5" s="1"/>
  <c r="J32" i="5" s="1"/>
  <c r="L32" i="5" s="1"/>
  <c r="F26" i="5"/>
  <c r="G26" i="5" s="1"/>
  <c r="J26" i="5" s="1"/>
  <c r="L26" i="5" s="1"/>
  <c r="F36" i="5"/>
  <c r="G36" i="5" s="1"/>
  <c r="F48" i="5"/>
  <c r="G48" i="5" s="1"/>
  <c r="J48" i="5" s="1"/>
  <c r="L48" i="5" s="1"/>
  <c r="F52" i="5"/>
  <c r="G52" i="5" s="1"/>
  <c r="J52" i="5" s="1"/>
  <c r="L52" i="5" s="1"/>
  <c r="F47" i="5"/>
  <c r="G47" i="5" s="1"/>
  <c r="J47" i="5" s="1"/>
  <c r="L47" i="5" s="1"/>
  <c r="F51" i="5"/>
  <c r="G51" i="5" s="1"/>
  <c r="J51" i="5" s="1"/>
  <c r="L51" i="5" s="1"/>
  <c r="F34" i="5"/>
  <c r="G34" i="5" s="1"/>
  <c r="J34" i="5" s="1"/>
  <c r="L34" i="5" s="1"/>
  <c r="F31" i="5"/>
  <c r="G31" i="5" s="1"/>
  <c r="I31" i="5" s="1"/>
  <c r="J31" i="5" s="1"/>
  <c r="L31" i="5" s="1"/>
  <c r="F29" i="5"/>
  <c r="G29" i="5" s="1"/>
  <c r="I29" i="5" s="1"/>
  <c r="J29" i="5" s="1"/>
  <c r="L29" i="5" s="1"/>
  <c r="F43" i="5"/>
  <c r="G43" i="5" s="1"/>
  <c r="J43" i="5" s="1"/>
  <c r="L43" i="5" s="1"/>
  <c r="F39" i="5"/>
  <c r="G39" i="5" s="1"/>
  <c r="J39" i="5" s="1"/>
  <c r="L39" i="5" s="1"/>
  <c r="F30" i="5"/>
  <c r="G30" i="5" s="1"/>
  <c r="I30" i="5" s="1"/>
  <c r="J30" i="5" s="1"/>
  <c r="L30" i="5" s="1"/>
  <c r="F8" i="5"/>
  <c r="G8" i="5" s="1"/>
  <c r="J8" i="5" s="1"/>
  <c r="L8" i="5" s="1"/>
  <c r="F33" i="5"/>
  <c r="G33" i="5" s="1"/>
  <c r="F12" i="5"/>
  <c r="G12" i="5" s="1"/>
  <c r="J12" i="5" s="1"/>
  <c r="L12" i="5" s="1"/>
  <c r="F27" i="5"/>
  <c r="G27" i="5" s="1"/>
  <c r="F22" i="5"/>
  <c r="G22" i="5" s="1"/>
  <c r="J22" i="5" s="1"/>
  <c r="L22" i="5" s="1"/>
  <c r="F15" i="5"/>
  <c r="G15" i="5" s="1"/>
  <c r="I15" i="5" s="1"/>
  <c r="F17" i="5"/>
  <c r="G17" i="5" s="1"/>
  <c r="I17" i="5" s="1"/>
  <c r="J17" i="5" s="1"/>
  <c r="L17" i="5" s="1"/>
  <c r="F44" i="5"/>
  <c r="G44" i="5" s="1"/>
  <c r="J44" i="5" s="1"/>
  <c r="L44" i="5" s="1"/>
  <c r="E54" i="5"/>
  <c r="F6" i="5"/>
  <c r="G6" i="5" s="1"/>
  <c r="J6" i="5" s="1"/>
  <c r="L6" i="5" s="1"/>
  <c r="F41" i="5"/>
  <c r="G41" i="5" s="1"/>
  <c r="J41" i="5" s="1"/>
  <c r="L41" i="5" s="1"/>
  <c r="F20" i="5"/>
  <c r="G20" i="5" s="1"/>
  <c r="J20" i="5" s="1"/>
  <c r="L20" i="5" s="1"/>
  <c r="F50" i="5"/>
  <c r="G50" i="5" s="1"/>
  <c r="J50" i="5" s="1"/>
  <c r="L50" i="5" s="1"/>
  <c r="F9" i="5"/>
  <c r="G9" i="5" s="1"/>
  <c r="J9" i="5" s="1"/>
  <c r="L9" i="5" s="1"/>
  <c r="F10" i="5"/>
  <c r="G10" i="5" s="1"/>
  <c r="J10" i="5" s="1"/>
  <c r="L10" i="5" s="1"/>
  <c r="F37" i="5"/>
  <c r="G37" i="5" s="1"/>
  <c r="J37" i="5" s="1"/>
  <c r="L37" i="5" s="1"/>
  <c r="F21" i="5"/>
  <c r="G21" i="5" s="1"/>
  <c r="J21" i="5" s="1"/>
  <c r="L21" i="5" s="1"/>
  <c r="F28" i="5"/>
  <c r="G28" i="5" s="1"/>
  <c r="J28" i="5" s="1"/>
  <c r="L28" i="5" s="1"/>
  <c r="F24" i="5"/>
  <c r="G24" i="5" s="1"/>
  <c r="J24" i="5" s="1"/>
  <c r="L24" i="5" s="1"/>
  <c r="F23" i="5"/>
  <c r="G23" i="5" s="1"/>
  <c r="J23" i="5" s="1"/>
  <c r="L23" i="5" s="1"/>
  <c r="F40" i="5"/>
  <c r="G40" i="5" s="1"/>
  <c r="J40" i="5" s="1"/>
  <c r="L40" i="5" s="1"/>
  <c r="F16" i="5"/>
  <c r="G16" i="5" s="1"/>
  <c r="I16" i="5" s="1"/>
  <c r="J16" i="5" s="1"/>
  <c r="L16" i="5" s="1"/>
  <c r="F46" i="5"/>
  <c r="G46" i="5" s="1"/>
  <c r="J46" i="5" s="1"/>
  <c r="L46" i="5" s="1"/>
  <c r="I33" i="5"/>
  <c r="I42" i="5"/>
  <c r="J42" i="5" s="1"/>
  <c r="L42" i="5" s="1"/>
  <c r="J36" i="5"/>
  <c r="L36" i="5" s="1"/>
  <c r="I27" i="5"/>
  <c r="J27" i="5" l="1"/>
  <c r="L27" i="5" s="1"/>
  <c r="J33" i="5"/>
  <c r="L33" i="5" s="1"/>
  <c r="G65" i="5"/>
  <c r="F70" i="5"/>
  <c r="F54" i="5"/>
  <c r="F76" i="5"/>
  <c r="I54" i="5"/>
  <c r="G54" i="5"/>
  <c r="J5" i="5"/>
  <c r="G66" i="5"/>
  <c r="J64" i="5" s="1"/>
  <c r="J15" i="5"/>
  <c r="L15" i="5" s="1"/>
  <c r="F81" i="5" l="1"/>
  <c r="J54" i="5"/>
  <c r="L5" i="5"/>
  <c r="L54" i="5" l="1"/>
  <c r="J75" i="5" l="1"/>
  <c r="J70" i="5" s="1"/>
  <c r="M40" i="5"/>
  <c r="M37" i="5"/>
  <c r="M50" i="5"/>
  <c r="M10" i="5"/>
  <c r="M28" i="5"/>
  <c r="M9" i="5"/>
  <c r="M23" i="5"/>
  <c r="I77" i="5"/>
  <c r="M21" i="5"/>
  <c r="M41" i="5"/>
  <c r="M24" i="5"/>
  <c r="M20" i="5"/>
  <c r="M16" i="5"/>
  <c r="M19" i="5"/>
  <c r="M51" i="5"/>
  <c r="M18" i="5"/>
  <c r="M22" i="5"/>
  <c r="M53" i="5"/>
  <c r="M38" i="5"/>
  <c r="M8" i="5"/>
  <c r="M52" i="5"/>
  <c r="M46" i="5"/>
  <c r="M25" i="5"/>
  <c r="M7" i="5"/>
  <c r="M26" i="5"/>
  <c r="M43" i="5"/>
  <c r="M33" i="5"/>
  <c r="M45" i="5"/>
  <c r="M13" i="5"/>
  <c r="M11" i="5"/>
  <c r="M48" i="5"/>
  <c r="M49" i="5"/>
  <c r="M34" i="5"/>
  <c r="M6" i="5"/>
  <c r="M39" i="5"/>
  <c r="M12" i="5"/>
  <c r="M44" i="5"/>
  <c r="M47" i="5"/>
  <c r="M14" i="5"/>
  <c r="M31" i="5"/>
  <c r="M29" i="5"/>
  <c r="M35" i="5"/>
  <c r="M36" i="5"/>
  <c r="M32" i="5"/>
  <c r="M27" i="5"/>
  <c r="M42" i="5"/>
  <c r="M30" i="5"/>
  <c r="M17" i="5"/>
  <c r="M15" i="5"/>
  <c r="M5" i="5"/>
  <c r="M54"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GIO</author>
  </authors>
  <commentList>
    <comment ref="B1" authorId="0" shapeId="0" xr:uid="{00000000-0006-0000-0200-000001000000}">
      <text>
        <r>
          <rPr>
            <sz val="9"/>
            <color indexed="81"/>
            <rFont val="Tahoma"/>
            <family val="2"/>
          </rPr>
          <t>Seleccione la localidad.</t>
        </r>
      </text>
    </comment>
    <comment ref="D4" authorId="0" shapeId="0" xr:uid="{00000000-0006-0000-0200-000002000000}">
      <text>
        <r>
          <rPr>
            <sz val="9"/>
            <color indexed="81"/>
            <rFont val="Tahoma"/>
            <family val="2"/>
          </rPr>
          <t xml:space="preserve">
Diligencie las celdas de color con base en el resultado de presupuestos participativos (plataforma virtual+ tarjetones). 
Los conceptos de gasto que no aplican, dejarlos en blanco.</t>
        </r>
      </text>
    </comment>
    <comment ref="K4" authorId="0" shapeId="0" xr:uid="{00000000-0006-0000-0200-000003000000}">
      <text>
        <r>
          <rPr>
            <sz val="9"/>
            <color indexed="81"/>
            <rFont val="Tahoma"/>
            <family val="2"/>
          </rPr>
          <t>Ingrese los valores resultado de la distribución de remanentes por parte de CPL y Comisionados de trabajo.</t>
        </r>
      </text>
    </comment>
  </commentList>
</comments>
</file>

<file path=xl/sharedStrings.xml><?xml version="1.0" encoding="utf-8"?>
<sst xmlns="http://schemas.openxmlformats.org/spreadsheetml/2006/main" count="445" uniqueCount="141">
  <si>
    <t>Infraestructura</t>
  </si>
  <si>
    <t>No.</t>
  </si>
  <si>
    <t>COMPONENTE</t>
  </si>
  <si>
    <t>LINEA</t>
  </si>
  <si>
    <t>CONCEPTO</t>
  </si>
  <si>
    <t>PRESUPUESTOS PARTICIPATIVOS</t>
  </si>
  <si>
    <t>Inversiones ambientales sostenibles</t>
  </si>
  <si>
    <t xml:space="preserve">Acuerdos con las redes locales de proteccionistas de animales para urgencias, brigadas médico veterinarias, acciones de esterilización, educación y adopción  </t>
  </si>
  <si>
    <t>Agricultura urbana.</t>
  </si>
  <si>
    <t>Arbolado urbano y/o rural.</t>
  </si>
  <si>
    <t>Eco-urbanismo.</t>
  </si>
  <si>
    <t>Educación ambiental.</t>
  </si>
  <si>
    <t>Manejo de emergencias y desastres.</t>
  </si>
  <si>
    <t xml:space="preserve">Mitigación del riesgo. </t>
  </si>
  <si>
    <t>Restauración ecológica urbana y/o rural.</t>
  </si>
  <si>
    <t>Desarrollo de la Economía Local</t>
  </si>
  <si>
    <t>Transformación productiva y formación de capacidades</t>
  </si>
  <si>
    <t>Desarrollo social y cultural</t>
  </si>
  <si>
    <t>Circulación y apropiación de prácticas artísticas, interculturales, culturales y patrimoniales.</t>
  </si>
  <si>
    <t>Eventos recreo-deportivos.</t>
  </si>
  <si>
    <t>Iniciativas de interés cultural, artístico, patrimonial y recreo deportivas.</t>
  </si>
  <si>
    <t>Procesos de formación y dotación de insumos para los campos artísticos, interculturales, culturales, patrimoniales y deportivos.</t>
  </si>
  <si>
    <t>Construcción, mantenimiento y dotación de parques vecinales y/o de bolsillo.</t>
  </si>
  <si>
    <t>Dotación e infraestructura cultural.</t>
  </si>
  <si>
    <t>Reactivación y reconversión verde</t>
  </si>
  <si>
    <t>Revitalización del corazón productivo de las localidades</t>
  </si>
  <si>
    <t>Dotación pedagógica a colegios.</t>
  </si>
  <si>
    <t>Construcción de memoria, verdad, reparación, víctimas, paz y reconciliación.</t>
  </si>
  <si>
    <t>Acuerdos para el uso, acceso y aprovechamiento del espacio público.</t>
  </si>
  <si>
    <t>Acuerdos para fortalecer la formalidad.</t>
  </si>
  <si>
    <t>Acuerdos para mejorar el uso de medios de transporte no motorizados.</t>
  </si>
  <si>
    <t>Intervención y dotación de salones comunales.</t>
  </si>
  <si>
    <t>PRESUPUESTOS PARTICIPATIVOS / FLEXIBLE</t>
  </si>
  <si>
    <t>Escuelas y procesos de formación para la participación ciudadana y/u organizaciones para los procesos de presupuestos participativos.</t>
  </si>
  <si>
    <t>Fortalecimiento de organizaciones sociales, comunitarias, comunales, propiedad horizontal e instancias y mecanismos de participación, con énfasis en jóvenes y asociatividad productiva.</t>
  </si>
  <si>
    <t>Cambios de hábitos de consumo, separación en la fuente y reciclaje.</t>
  </si>
  <si>
    <t>Prevención y atención de violencia intrafamiliar y sexual para poblaciones en situaciones de riesgo y vulneración de derechos.</t>
  </si>
  <si>
    <t>Dotación a Centros Crecer, Renacer.</t>
  </si>
  <si>
    <t>Dotación a Jardines Infantiles, Centros Amar y Forjar.</t>
  </si>
  <si>
    <t>Dotación Casas de Juventud.</t>
  </si>
  <si>
    <t>Dotación Centros de Desarrollo Comunitario.</t>
  </si>
  <si>
    <t>Construcción y/o conservación de elementos del sistema de espacio público peatonal.</t>
  </si>
  <si>
    <t>Construcción y/o conservación de puentes peatonales y/o vehiculares sobre cuerpos de agua (de escala local: urbana y/o rural).</t>
  </si>
  <si>
    <t>Diseño, construcción y conservación (mantenimiento y rehabilitación) de la malla vial local e intermedia urbana o rural.</t>
  </si>
  <si>
    <t>Diseño, construcción y conservación de ciclo-infraestructura.</t>
  </si>
  <si>
    <t>Construcción de ciudadanía y desarrollo de capacidades para el ejercicio de derechos de las mujeres.</t>
  </si>
  <si>
    <t>Estrategias de cuidado para cuidadoras, cuidadores y a personas con discapacidad</t>
  </si>
  <si>
    <t>Prevención del feminicidio y la violencia contra la mujer.</t>
  </si>
  <si>
    <t>Acceso a la Justicia.</t>
  </si>
  <si>
    <t>Dotación para instancias de seguridad.</t>
  </si>
  <si>
    <t>Promoción de la convivencia ciudadana.</t>
  </si>
  <si>
    <t>TOTALES</t>
  </si>
  <si>
    <t>Presupuesto Local 100%</t>
  </si>
  <si>
    <t>Presupuesto Participativo 50%</t>
  </si>
  <si>
    <t>BOSA</t>
  </si>
  <si>
    <t xml:space="preserve">Años </t>
  </si>
  <si>
    <t>2020-2024</t>
  </si>
  <si>
    <t>Fondos de Desarrollo Local Total</t>
  </si>
  <si>
    <t>USAQUÉN</t>
  </si>
  <si>
    <t>CHAPINERO</t>
  </si>
  <si>
    <t>SANTA FÉ</t>
  </si>
  <si>
    <t>SAN CRISTÓBAL</t>
  </si>
  <si>
    <t>USME</t>
  </si>
  <si>
    <t>TUNJUELITO</t>
  </si>
  <si>
    <t>KENNEDY</t>
  </si>
  <si>
    <t>FONTIBÓN</t>
  </si>
  <si>
    <t>ENGATIVÁ</t>
  </si>
  <si>
    <t>SUBA</t>
  </si>
  <si>
    <t>BARRIOS UNIDOS</t>
  </si>
  <si>
    <t>TEUSAQUILLO</t>
  </si>
  <si>
    <t>LOS MÁRTIRES</t>
  </si>
  <si>
    <t>ANTONIO NARIÑO</t>
  </si>
  <si>
    <t>PUENTE ARANDA</t>
  </si>
  <si>
    <t>LA CANDELARIA</t>
  </si>
  <si>
    <t>RAFAEL URIBE U.</t>
  </si>
  <si>
    <t>CIUDAD BOLÍVAR</t>
  </si>
  <si>
    <t>SUMAPAZ</t>
  </si>
  <si>
    <t>Cuadro Básico de Cáculo</t>
  </si>
  <si>
    <t>Cuadro de Proyecciones Presupuestales PDL 2021-2024</t>
  </si>
  <si>
    <t xml:space="preserve">Apoyo y fortalecimiento a las industrias culturales y creativas en las localidades. </t>
  </si>
  <si>
    <t xml:space="preserve">Dotación a Centro de Atención a la Diversidad Sexual y de Géneros CAIDSG. </t>
  </si>
  <si>
    <t>Ruralidad</t>
  </si>
  <si>
    <t>Asistencia técnica agropecuaria y ambiental y productividad rural</t>
  </si>
  <si>
    <t>Energías alternativas para el área rural</t>
  </si>
  <si>
    <t xml:space="preserve">Conectividad y redes de comunicación
</t>
  </si>
  <si>
    <t xml:space="preserve">Mejoramiento de vivienda rural
</t>
  </si>
  <si>
    <t xml:space="preserve">Acueductos veredales y saneamiento básico
</t>
  </si>
  <si>
    <t>LOCALIDAD</t>
  </si>
  <si>
    <t>VALOR PROYECTADO SOBRETASA A LA GASOLINA</t>
  </si>
  <si>
    <t>VALOR PRIORIZADO</t>
  </si>
  <si>
    <t>Total general</t>
  </si>
  <si>
    <t>% PRESUPUESTOS PARTICIPATIVOS</t>
  </si>
  <si>
    <t>AÑO 2021</t>
  </si>
  <si>
    <t>AÑO 2022</t>
  </si>
  <si>
    <t>AÑO 2023</t>
  </si>
  <si>
    <t>AÑO 2024</t>
  </si>
  <si>
    <t>TOTAL VALOR REQUERIDO</t>
  </si>
  <si>
    <t>RESULTADO VOTACIONES PRESUPUESTO PARTICIPATIVO</t>
  </si>
  <si>
    <t>Proyeccion Sobretasa Gasolina 2021-2024</t>
  </si>
  <si>
    <t>TOTAL 2021-2024</t>
  </si>
  <si>
    <t>%</t>
  </si>
  <si>
    <t>Dotación a Jardines Infantiles</t>
  </si>
  <si>
    <t>Dotación a Centros Amar</t>
  </si>
  <si>
    <t>Dotación a Centros Forjar</t>
  </si>
  <si>
    <t>Dotación a Jardines Infantiles, Centros Amar y Forjar</t>
  </si>
  <si>
    <t>Dotación a Centros Crecer</t>
  </si>
  <si>
    <t>Dotación a Centros Renacer</t>
  </si>
  <si>
    <t>Dotación a Centros Crecer y Renacer</t>
  </si>
  <si>
    <t>Intervención salones comunales.</t>
  </si>
  <si>
    <t>Dotación de salones comunales.</t>
  </si>
  <si>
    <t xml:space="preserve">TOTAL VOTACIONES </t>
  </si>
  <si>
    <t>Intervención y dotación de salones comunales (aplica para mantenimiento y dotación según inventario 2019 y costos de referencia 2020)</t>
  </si>
  <si>
    <t>Construcción, mantenimiento y dotación de parques vecinales y/o de bolsillo (aplica para mantenimiento y dotación según inventario y costos de referencia IDRD 2020)</t>
  </si>
  <si>
    <t>Arbolado urbano y/o rural (aplica para mantenimiento de arbolado urbano -JBB 2020-, asumiento el costo de referencia de individuos arboreos de porte alto)</t>
  </si>
  <si>
    <t>LOCALIDAD IDENTIFICADA</t>
  </si>
  <si>
    <t>Valor requerido cubrimiento de la demanda</t>
  </si>
  <si>
    <t xml:space="preserve"> VALORES REMANENTES POR CUBRIMIENTO DE LA DEMANDA</t>
  </si>
  <si>
    <t>VALOR CON REMANETES</t>
  </si>
  <si>
    <t>VALOR TOTAL 2021-2024</t>
  </si>
  <si>
    <t>PORCENTAJE</t>
  </si>
  <si>
    <t>Actualizar este cuadro. Una vez actualizado pegar esta información en el acta de acuerdos participativos.</t>
  </si>
  <si>
    <t>VALORES DEPURADOS REGLA 1 (Sin valores por debajo de 200 millones)</t>
  </si>
  <si>
    <r>
      <t>Toma el total del valor 2021-2024 y sobre ese valor se diligencia en la hoja denominada "</t>
    </r>
    <r>
      <rPr>
        <i/>
        <sz val="18"/>
        <color theme="1"/>
        <rFont val="Calibri"/>
        <family val="2"/>
        <scheme val="minor"/>
      </rPr>
      <t>Cálculo PP</t>
    </r>
    <r>
      <rPr>
        <sz val="18"/>
        <color theme="1"/>
        <rFont val="Calibri"/>
        <family val="2"/>
        <scheme val="minor"/>
      </rPr>
      <t>" en el cuadro de la parte inferior denominado "</t>
    </r>
    <r>
      <rPr>
        <i/>
        <sz val="18"/>
        <color theme="1"/>
        <rFont val="Calibri"/>
        <family val="2"/>
        <scheme val="minor"/>
      </rPr>
      <t>Cuadro Básico de Cáculo</t>
    </r>
    <r>
      <rPr>
        <sz val="18"/>
        <color theme="1"/>
        <rFont val="Calibri"/>
        <family val="2"/>
        <scheme val="minor"/>
      </rPr>
      <t>"</t>
    </r>
  </si>
  <si>
    <t>Valor proyectado de la sobretasa a la gasolina</t>
  </si>
  <si>
    <t>2021-2024</t>
  </si>
  <si>
    <t xml:space="preserve">VALOR REMANENTES CUBRIMIENTO DE LA DEMANDA
2021-2024                                                                                                                                                         </t>
  </si>
  <si>
    <t>TOTAL REMANENTES A DISTRIBUIR
2021-2024</t>
  </si>
  <si>
    <t>DISTRIBUCIÓN DE REMANENTES
 2021-2024</t>
  </si>
  <si>
    <t>VALOR TOTAL CON REMANENTES
2021-2024</t>
  </si>
  <si>
    <t xml:space="preserve">VALORES DEPURADOS SIN REMANENTES </t>
  </si>
  <si>
    <t>APLICACIÓN DE REGLAS DE REMANENTES</t>
  </si>
  <si>
    <t>VALIDADOR</t>
  </si>
  <si>
    <t>SOBRETASA A LA GASOLINA</t>
  </si>
  <si>
    <t>TOTAL PRESUPUESTO</t>
  </si>
  <si>
    <t xml:space="preserve">VALOR REMANENTES MENORES DE 200 MILLONES 2021-2024 </t>
  </si>
  <si>
    <t>VIGENCIA</t>
  </si>
  <si>
    <t>RESULTADO FINAL</t>
  </si>
  <si>
    <t>Valor 2021-2024
(millones de pesos)</t>
  </si>
  <si>
    <t>Diferencia presupuesto</t>
  </si>
  <si>
    <t>Apoyo a industrias culturales y creativas.</t>
  </si>
  <si>
    <r>
      <rPr>
        <b/>
        <sz val="14"/>
        <color theme="1"/>
        <rFont val="Arial Narrow"/>
        <family val="2"/>
      </rPr>
      <t>PASO A PASO</t>
    </r>
    <r>
      <rPr>
        <sz val="14"/>
        <color theme="1"/>
        <rFont val="Arial Narrow"/>
        <family val="2"/>
      </rPr>
      <t xml:space="preserve">
</t>
    </r>
    <r>
      <rPr>
        <b/>
        <sz val="14"/>
        <color theme="9" tint="-0.499984740745262"/>
        <rFont val="Arial Narrow"/>
        <family val="2"/>
      </rPr>
      <t>PASO 1.</t>
    </r>
    <r>
      <rPr>
        <sz val="14"/>
        <color theme="9" tint="-0.499984740745262"/>
        <rFont val="Arial Narrow"/>
        <family val="2"/>
      </rPr>
      <t xml:space="preserve"> Seleccione la respectiva localidad.
</t>
    </r>
    <r>
      <rPr>
        <b/>
        <sz val="14"/>
        <color theme="9" tint="-0.499984740745262"/>
        <rFont val="Arial Narrow"/>
        <family val="2"/>
      </rPr>
      <t>PASO 2</t>
    </r>
    <r>
      <rPr>
        <sz val="14"/>
        <color theme="9" tint="-0.499984740745262"/>
        <rFont val="Arial Narrow"/>
        <family val="2"/>
      </rPr>
      <t xml:space="preserve">. Diligencie el resultado de presupuestos participativos (plataforma virtual+ tarjetones) en la columna “total de votaciones” (D). </t>
    </r>
    <r>
      <rPr>
        <sz val="14"/>
        <color theme="1"/>
        <rFont val="Arial Narrow"/>
        <family val="2"/>
      </rPr>
      <t xml:space="preserve">
</t>
    </r>
    <r>
      <rPr>
        <b/>
        <sz val="14"/>
        <color theme="1"/>
        <rFont val="Arial Narrow"/>
        <family val="2"/>
      </rPr>
      <t xml:space="preserve">PASO 3. </t>
    </r>
    <r>
      <rPr>
        <sz val="14"/>
        <color theme="1"/>
        <rFont val="Arial Narrow"/>
        <family val="2"/>
      </rPr>
      <t xml:space="preserve">Revise el total del valor de remantes a distribuir 2021-2024 (celda F81).
</t>
    </r>
    <r>
      <rPr>
        <b/>
        <sz val="14"/>
        <color theme="1"/>
        <rFont val="Arial Narrow"/>
        <family val="2"/>
      </rPr>
      <t>PASO 4.</t>
    </r>
    <r>
      <rPr>
        <sz val="14"/>
        <color theme="1"/>
        <rFont val="Arial Narrow"/>
        <family val="2"/>
      </rPr>
      <t xml:space="preserve"> Ingrese los valores resultado de la distribución de remanentes por parte de CPL y Comisionados de trabajo (columna K). Recuerde que se puede distribuir en cualquier concepto de gasto incluso si no ha sido priorizado en las votaciones. Tenga en cuenta que se cumpla con el valor requerido para la sobretasa a la gasolina.
</t>
    </r>
    <r>
      <rPr>
        <b/>
        <sz val="14"/>
        <color theme="1"/>
        <rFont val="Arial Narrow"/>
        <family val="2"/>
      </rPr>
      <t>PASO 5.</t>
    </r>
    <r>
      <rPr>
        <sz val="14"/>
        <color theme="1"/>
        <rFont val="Arial Narrow"/>
        <family val="2"/>
      </rPr>
      <t xml:space="preserve"> Revise los dos validadores tanto de la sobretasa a la gasolina (celda J64) y total presupuesto (celda J70), al final del ejercicio ambos deben estar en verde y con el texto “se cumple”. Si el texto aparece “no se cumple” revise el valor de remanentes en los conceptos de gasto asociados a la sobretasa a la gasolina (filas 36, 37, 38, 39) y/o revise que el total del presupuesto (fila L54) sea igual con el presupuesto proyectado para el priodo 2021-2024 (fila C63).
</t>
    </r>
    <r>
      <rPr>
        <b/>
        <sz val="14"/>
        <color theme="1"/>
        <rFont val="Arial Narrow"/>
        <family val="2"/>
      </rPr>
      <t>PASO 6.</t>
    </r>
    <r>
      <rPr>
        <sz val="14"/>
        <color theme="1"/>
        <rFont val="Arial Narrow"/>
        <family val="2"/>
      </rPr>
      <t xml:space="preserve"> En la hoja “porcentaje final” oprima el botón actualizar, copie la tabla y péguela en el acta de presupuestos participativos.
NOTA. Si el ejercicio evidencia otro valor que excede el cubrimiento de la demanda, ejemplo se priorizó $2.000 millones para el Concepto de gasto “Dotación e infraestructura cultural” y es posible demostrar que se requiere un valor menor, ejemplo $500 millones, este valor deberá ser certificado por el sector a través de la gestión de la alcaldía local. Una vez certificado, ingresar el valor requerido en la columna “Valor requerido cubrimiento de la demanda” (H) para calcular su remanente. 
Recuerde que todas las cifras estan en millones de pesos.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</si>
</sst>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164" formatCode="0.0%"/>
    <numFmt numFmtId="165" formatCode="_-&quot;$&quot;* #,##0_-;\-&quot;$&quot;* #,##0_-;_-&quot;$&quot;* &quot;-&quot;?_-;_-@_-"/>
    <numFmt numFmtId="166" formatCode="_(* #,##0_);_(* \(#,##0\);_(* &quot;-&quot;??_);_(@_)"/>
    <numFmt numFmtId="167" formatCode="_(* 0.0%_);_(* \(0.0%\);_(* &quot;-&quot;??_);_(@_)"/>
    <numFmt numFmtId="168" formatCode="_(* &quot;$&quot;#,##0,,_);_(* \(&quot;$&quot;#,##0,,\);_(* &quot;-&quot;??_);_(@_)"/>
    <numFmt numFmtId="169" formatCode="&quot;$&quot;#,##0"/>
  </numFmts>
  <fonts count="45" x14ac:knownFonts="1">
    <font>
      <sz val="12"/>
      <color theme="1"/>
      <name val="Calibri"/>
      <family val="2"/>
      <scheme val="minor"/>
    </font>
    <font>
      <sz val="11"/>
      <color theme="1"/>
      <name val="Calibri"/>
      <family val="2"/>
      <scheme val="minor"/>
    </font>
    <font>
      <sz val="12"/>
      <color theme="1"/>
      <name val="Calibri"/>
      <family val="2"/>
      <scheme val="minor"/>
    </font>
    <font>
      <sz val="10"/>
      <color theme="1"/>
      <name val="Arial Narrow"/>
      <family val="2"/>
    </font>
    <font>
      <sz val="11"/>
      <color theme="0"/>
      <name val="Calibri"/>
      <family val="2"/>
      <scheme val="minor"/>
    </font>
    <font>
      <b/>
      <sz val="12"/>
      <color theme="1"/>
      <name val="Arial Narrow"/>
      <family val="2"/>
    </font>
    <font>
      <sz val="12"/>
      <color theme="1"/>
      <name val="Arial Narrow"/>
      <family val="2"/>
    </font>
    <font>
      <sz val="14"/>
      <color theme="0"/>
      <name val="Calibri"/>
      <family val="2"/>
      <scheme val="minor"/>
    </font>
    <font>
      <sz val="18"/>
      <color theme="1"/>
      <name val="Calibri"/>
      <family val="2"/>
      <scheme val="minor"/>
    </font>
    <font>
      <i/>
      <sz val="18"/>
      <color theme="1"/>
      <name val="Calibri"/>
      <family val="2"/>
      <scheme val="minor"/>
    </font>
    <font>
      <b/>
      <sz val="14"/>
      <color theme="1"/>
      <name val="Calibri"/>
      <family val="2"/>
      <scheme val="minor"/>
    </font>
    <font>
      <b/>
      <sz val="10"/>
      <color theme="0"/>
      <name val="Calibri"/>
      <family val="2"/>
      <scheme val="minor"/>
    </font>
    <font>
      <sz val="10"/>
      <name val="Calibri"/>
      <family val="2"/>
      <scheme val="minor"/>
    </font>
    <font>
      <sz val="10"/>
      <color theme="1"/>
      <name val="Calibri"/>
      <family val="2"/>
      <scheme val="minor"/>
    </font>
    <font>
      <b/>
      <sz val="14"/>
      <color theme="0"/>
      <name val="Calibri"/>
      <family val="2"/>
      <scheme val="minor"/>
    </font>
    <font>
      <sz val="18"/>
      <color theme="0"/>
      <name val="Calibri"/>
      <family val="2"/>
      <scheme val="minor"/>
    </font>
    <font>
      <sz val="12"/>
      <color theme="0"/>
      <name val="Calibri"/>
      <family val="2"/>
      <scheme val="minor"/>
    </font>
    <font>
      <b/>
      <sz val="12"/>
      <color theme="0"/>
      <name val="Calibri"/>
      <family val="2"/>
      <scheme val="minor"/>
    </font>
    <font>
      <sz val="16"/>
      <color theme="1"/>
      <name val="Arial Narrow"/>
      <family val="2"/>
    </font>
    <font>
      <sz val="26"/>
      <color theme="1"/>
      <name val="Arial Narrow"/>
      <family val="2"/>
    </font>
    <font>
      <sz val="12"/>
      <name val="Calibri"/>
      <family val="2"/>
      <scheme val="minor"/>
    </font>
    <font>
      <sz val="11"/>
      <name val="Calibri"/>
      <family val="2"/>
      <scheme val="minor"/>
    </font>
    <font>
      <b/>
      <sz val="10"/>
      <color theme="1"/>
      <name val="Calibri"/>
      <family val="2"/>
      <scheme val="minor"/>
    </font>
    <font>
      <sz val="11"/>
      <color rgb="FF000000"/>
      <name val="Calibri"/>
      <family val="2"/>
    </font>
    <font>
      <sz val="10"/>
      <color rgb="FF002060"/>
      <name val="Calibri"/>
      <family val="2"/>
      <scheme val="minor"/>
    </font>
    <font>
      <i/>
      <sz val="8"/>
      <color rgb="FF002060"/>
      <name val="Calibri"/>
      <family val="2"/>
      <scheme val="minor"/>
    </font>
    <font>
      <sz val="9"/>
      <color indexed="81"/>
      <name val="Tahoma"/>
      <family val="2"/>
    </font>
    <font>
      <sz val="10"/>
      <color theme="0"/>
      <name val="Arial Narrow"/>
      <family val="2"/>
    </font>
    <font>
      <b/>
      <sz val="11"/>
      <name val="Calibri"/>
      <family val="2"/>
      <scheme val="minor"/>
    </font>
    <font>
      <sz val="10"/>
      <color theme="9" tint="-0.249977111117893"/>
      <name val="Arial Narrow"/>
      <family val="2"/>
    </font>
    <font>
      <sz val="11"/>
      <color rgb="FF1D1D1F"/>
      <name val="Consolas"/>
      <family val="3"/>
    </font>
    <font>
      <b/>
      <sz val="11"/>
      <color theme="0"/>
      <name val="Calibri"/>
      <family val="2"/>
      <scheme val="minor"/>
    </font>
    <font>
      <sz val="14"/>
      <color theme="1"/>
      <name val="Calibri"/>
      <family val="2"/>
      <scheme val="minor"/>
    </font>
    <font>
      <b/>
      <sz val="20"/>
      <color theme="1"/>
      <name val="Calibri"/>
      <family val="2"/>
      <scheme val="minor"/>
    </font>
    <font>
      <sz val="14"/>
      <color indexed="8"/>
      <name val="Calibri"/>
      <family val="2"/>
      <scheme val="minor"/>
    </font>
    <font>
      <sz val="14"/>
      <name val="Calibri"/>
      <family val="2"/>
      <scheme val="minor"/>
    </font>
    <font>
      <b/>
      <sz val="16"/>
      <color theme="1"/>
      <name val="Calibri"/>
      <family val="2"/>
      <scheme val="minor"/>
    </font>
    <font>
      <b/>
      <sz val="26"/>
      <color theme="1"/>
      <name val="Arial Narrow"/>
      <family val="2"/>
    </font>
    <font>
      <sz val="14"/>
      <color theme="1"/>
      <name val="Arial Narrow"/>
      <family val="2"/>
    </font>
    <font>
      <b/>
      <sz val="14"/>
      <color theme="1"/>
      <name val="Arial Narrow"/>
      <family val="2"/>
    </font>
    <font>
      <b/>
      <sz val="16"/>
      <color theme="0"/>
      <name val="Calibri"/>
      <family val="2"/>
      <scheme val="minor"/>
    </font>
    <font>
      <sz val="10"/>
      <color theme="0"/>
      <name val="Calibri"/>
      <family val="2"/>
      <scheme val="minor"/>
    </font>
    <font>
      <sz val="26"/>
      <color theme="1"/>
      <name val="Calibri"/>
      <family val="2"/>
      <scheme val="minor"/>
    </font>
    <font>
      <b/>
      <sz val="14"/>
      <color theme="9" tint="-0.499984740745262"/>
      <name val="Arial Narrow"/>
      <family val="2"/>
    </font>
    <font>
      <sz val="14"/>
      <color theme="9" tint="-0.499984740745262"/>
      <name val="Arial Narrow"/>
      <family val="2"/>
    </font>
  </fonts>
  <fills count="17">
    <fill>
      <patternFill patternType="none"/>
    </fill>
    <fill>
      <patternFill patternType="gray125"/>
    </fill>
    <fill>
      <patternFill patternType="solid">
        <fgColor theme="0"/>
        <bgColor indexed="64"/>
      </patternFill>
    </fill>
    <fill>
      <patternFill patternType="solid">
        <fgColor theme="5"/>
      </patternFill>
    </fill>
    <fill>
      <patternFill patternType="solid">
        <fgColor theme="5" tint="0.39997558519241921"/>
        <bgColor indexed="65"/>
      </patternFill>
    </fill>
    <fill>
      <patternFill patternType="solid">
        <fgColor theme="4"/>
      </patternFill>
    </fill>
    <fill>
      <patternFill patternType="solid">
        <fgColor theme="9"/>
      </patternFill>
    </fill>
    <fill>
      <patternFill patternType="solid">
        <fgColor theme="9" tint="-0.499984740745262"/>
        <bgColor indexed="64"/>
      </patternFill>
    </fill>
    <fill>
      <patternFill patternType="solid">
        <fgColor theme="5"/>
        <bgColor indexed="64"/>
      </patternFill>
    </fill>
    <fill>
      <patternFill patternType="solid">
        <fgColor theme="5" tint="-0.499984740745262"/>
        <bgColor indexed="64"/>
      </patternFill>
    </fill>
    <fill>
      <patternFill patternType="solid">
        <fgColor theme="8" tint="0.59999389629810485"/>
        <bgColor indexed="64"/>
      </patternFill>
    </fill>
    <fill>
      <patternFill patternType="solid">
        <fgColor rgb="FFFFFF00"/>
        <bgColor indexed="64"/>
      </patternFill>
    </fill>
    <fill>
      <patternFill patternType="solid">
        <fgColor theme="4" tint="-0.249977111117893"/>
        <bgColor indexed="64"/>
      </patternFill>
    </fill>
    <fill>
      <patternFill patternType="solid">
        <fgColor theme="9"/>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theme="8"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bottom style="thin">
        <color theme="4" tint="0.3999755851924192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8">
    <xf numFmtId="0" fontId="0" fillId="0" borderId="0"/>
    <xf numFmtId="42" fontId="2" fillId="0" borderId="0" applyFont="0" applyFill="0" applyBorder="0" applyAlignment="0" applyProtection="0"/>
    <xf numFmtId="9" fontId="2" fillId="0" borderId="0" applyFont="0" applyFill="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23" fillId="0" borderId="0"/>
  </cellStyleXfs>
  <cellXfs count="203">
    <xf numFmtId="0" fontId="0" fillId="0" borderId="0" xfId="0"/>
    <xf numFmtId="0" fontId="3" fillId="0" borderId="0" xfId="0" applyFont="1"/>
    <xf numFmtId="0" fontId="6" fillId="0" borderId="3" xfId="0" applyFont="1" applyBorder="1" applyAlignment="1">
      <alignment horizontal="center" vertical="center"/>
    </xf>
    <xf numFmtId="42" fontId="6" fillId="0" borderId="13" xfId="0" applyNumberFormat="1" applyFont="1" applyBorder="1" applyAlignment="1">
      <alignment horizontal="center" vertical="center"/>
    </xf>
    <xf numFmtId="0" fontId="12" fillId="0" borderId="1" xfId="0" applyFont="1" applyFill="1" applyBorder="1" applyAlignment="1">
      <alignment horizontal="left" vertical="center" wrapText="1"/>
    </xf>
    <xf numFmtId="165" fontId="13" fillId="0" borderId="1" xfId="0" applyNumberFormat="1" applyFont="1" applyBorder="1" applyAlignment="1">
      <alignment vertical="center"/>
    </xf>
    <xf numFmtId="0" fontId="7" fillId="4" borderId="10" xfId="4" applyFont="1" applyBorder="1" applyAlignment="1">
      <alignment horizontal="center" vertical="center" wrapText="1"/>
    </xf>
    <xf numFmtId="0" fontId="7" fillId="4" borderId="11" xfId="4" applyFont="1" applyBorder="1" applyAlignment="1">
      <alignment horizontal="center" vertical="center"/>
    </xf>
    <xf numFmtId="0" fontId="7" fillId="4" borderId="12" xfId="4" applyFont="1" applyBorder="1" applyAlignment="1">
      <alignment horizontal="center" vertical="center"/>
    </xf>
    <xf numFmtId="0" fontId="7" fillId="4" borderId="4" xfId="4" applyFont="1" applyBorder="1" applyAlignment="1">
      <alignment horizontal="center" vertical="center" wrapText="1"/>
    </xf>
    <xf numFmtId="3" fontId="7" fillId="4" borderId="5" xfId="4" applyNumberFormat="1" applyFont="1" applyBorder="1" applyAlignment="1">
      <alignment horizontal="center" vertical="center"/>
    </xf>
    <xf numFmtId="3" fontId="7" fillId="4" borderId="14" xfId="4" applyNumberFormat="1" applyFont="1" applyBorder="1" applyAlignment="1">
      <alignment horizontal="center" vertical="center"/>
    </xf>
    <xf numFmtId="0" fontId="2" fillId="0" borderId="3" xfId="0" applyFont="1" applyBorder="1" applyAlignment="1">
      <alignment horizontal="center" vertical="center"/>
    </xf>
    <xf numFmtId="42" fontId="2" fillId="0" borderId="1" xfId="1" applyFont="1" applyBorder="1" applyAlignment="1">
      <alignment horizontal="center" vertical="center"/>
    </xf>
    <xf numFmtId="0" fontId="2" fillId="0" borderId="4" xfId="0" applyFont="1" applyBorder="1" applyAlignment="1">
      <alignment horizontal="center" vertical="center"/>
    </xf>
    <xf numFmtId="42" fontId="2" fillId="0" borderId="5" xfId="1" applyFont="1" applyBorder="1" applyAlignment="1">
      <alignment horizontal="center" vertical="center"/>
    </xf>
    <xf numFmtId="0" fontId="6" fillId="0" borderId="10" xfId="0" applyFont="1" applyBorder="1" applyAlignment="1">
      <alignment horizontal="center" vertical="center"/>
    </xf>
    <xf numFmtId="42" fontId="6" fillId="0" borderId="12" xfId="0" applyNumberFormat="1" applyFont="1" applyBorder="1" applyAlignment="1">
      <alignment horizontal="center" vertical="center"/>
    </xf>
    <xf numFmtId="0" fontId="12" fillId="0" borderId="1" xfId="0" applyFont="1" applyFill="1" applyBorder="1" applyAlignment="1">
      <alignment vertical="center" wrapText="1"/>
    </xf>
    <xf numFmtId="0" fontId="0" fillId="0" borderId="0" xfId="0" applyFont="1"/>
    <xf numFmtId="0" fontId="0" fillId="0" borderId="0" xfId="0" applyFont="1" applyAlignment="1">
      <alignment horizontal="center"/>
    </xf>
    <xf numFmtId="0" fontId="0" fillId="0" borderId="0" xfId="0" applyFont="1" applyAlignment="1">
      <alignment horizontal="center" vertical="center"/>
    </xf>
    <xf numFmtId="0" fontId="12" fillId="0" borderId="10" xfId="0" applyFont="1" applyFill="1" applyBorder="1" applyAlignment="1">
      <alignment vertical="center" wrapText="1"/>
    </xf>
    <xf numFmtId="0" fontId="5" fillId="0" borderId="22" xfId="0" applyFont="1" applyBorder="1" applyAlignment="1">
      <alignment horizontal="center" vertical="center"/>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42" fontId="6" fillId="0" borderId="1" xfId="0" applyNumberFormat="1" applyFont="1" applyBorder="1" applyAlignment="1">
      <alignment horizontal="center" vertical="center"/>
    </xf>
    <xf numFmtId="42" fontId="6" fillId="0" borderId="11" xfId="0" applyNumberFormat="1" applyFont="1" applyBorder="1" applyAlignment="1">
      <alignment horizontal="center" vertical="center"/>
    </xf>
    <xf numFmtId="3" fontId="10" fillId="0" borderId="0" xfId="0" applyNumberFormat="1" applyFont="1" applyBorder="1" applyAlignment="1">
      <alignment horizontal="center" vertical="center"/>
    </xf>
    <xf numFmtId="164" fontId="10" fillId="0" borderId="0" xfId="0" applyNumberFormat="1" applyFont="1" applyBorder="1" applyAlignment="1">
      <alignment horizontal="center" vertical="center"/>
    </xf>
    <xf numFmtId="165" fontId="10" fillId="0" borderId="0" xfId="0" applyNumberFormat="1" applyFont="1" applyBorder="1" applyAlignment="1">
      <alignment horizontal="center" vertical="center"/>
    </xf>
    <xf numFmtId="0" fontId="12" fillId="0" borderId="1" xfId="0" applyFont="1" applyFill="1" applyBorder="1" applyAlignment="1">
      <alignment horizontal="center" vertical="center" wrapText="1"/>
    </xf>
    <xf numFmtId="0" fontId="0" fillId="0" borderId="0" xfId="0" applyFill="1"/>
    <xf numFmtId="0" fontId="7" fillId="9" borderId="1" xfId="4" applyFont="1" applyFill="1" applyBorder="1" applyAlignment="1">
      <alignment horizontal="center" vertical="center"/>
    </xf>
    <xf numFmtId="0" fontId="7" fillId="9" borderId="3" xfId="4" applyFont="1" applyFill="1" applyBorder="1" applyAlignment="1">
      <alignment horizontal="center" vertical="center" wrapText="1"/>
    </xf>
    <xf numFmtId="0" fontId="7" fillId="9" borderId="13" xfId="4" applyFont="1" applyFill="1" applyBorder="1" applyAlignment="1">
      <alignment horizontal="center" vertical="center"/>
    </xf>
    <xf numFmtId="0" fontId="20" fillId="0" borderId="15" xfId="5" applyFont="1" applyFill="1" applyBorder="1" applyAlignment="1">
      <alignment horizontal="center" vertical="center"/>
    </xf>
    <xf numFmtId="42" fontId="20" fillId="0" borderId="16" xfId="5" applyNumberFormat="1" applyFont="1" applyFill="1" applyBorder="1" applyAlignment="1">
      <alignment horizontal="center" vertical="center"/>
    </xf>
    <xf numFmtId="0" fontId="21" fillId="0" borderId="0" xfId="5" applyFont="1" applyFill="1"/>
    <xf numFmtId="0" fontId="20" fillId="0" borderId="0" xfId="0" applyFont="1" applyFill="1"/>
    <xf numFmtId="0" fontId="20" fillId="0" borderId="3" xfId="0" applyFont="1" applyFill="1" applyBorder="1" applyAlignment="1">
      <alignment horizontal="center" vertical="center"/>
    </xf>
    <xf numFmtId="42" fontId="20" fillId="0" borderId="1" xfId="1" applyFont="1" applyFill="1" applyBorder="1" applyAlignment="1">
      <alignment horizontal="center" vertical="center"/>
    </xf>
    <xf numFmtId="0" fontId="20" fillId="0" borderId="3" xfId="6" applyFont="1" applyFill="1" applyBorder="1" applyAlignment="1">
      <alignment horizontal="center" vertical="center"/>
    </xf>
    <xf numFmtId="42" fontId="20" fillId="0" borderId="1" xfId="6" applyNumberFormat="1" applyFont="1" applyFill="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168" fontId="0" fillId="0" borderId="0" xfId="0" applyNumberFormat="1" applyAlignment="1">
      <alignment vertical="center"/>
    </xf>
    <xf numFmtId="0" fontId="14" fillId="9" borderId="3" xfId="4" applyFont="1" applyFill="1" applyBorder="1" applyAlignment="1">
      <alignment horizontal="center" vertical="center" wrapText="1"/>
    </xf>
    <xf numFmtId="42" fontId="20" fillId="0" borderId="17" xfId="5" applyNumberFormat="1" applyFont="1" applyFill="1" applyBorder="1" applyAlignment="1">
      <alignment horizontal="center" vertical="center"/>
    </xf>
    <xf numFmtId="42" fontId="20" fillId="0" borderId="23" xfId="5" applyNumberFormat="1" applyFont="1" applyFill="1" applyBorder="1" applyAlignment="1">
      <alignment horizontal="center" vertical="center"/>
    </xf>
    <xf numFmtId="42" fontId="20" fillId="0" borderId="24" xfId="5" applyNumberFormat="1" applyFont="1" applyFill="1" applyBorder="1" applyAlignment="1">
      <alignment horizontal="center" vertical="center"/>
    </xf>
    <xf numFmtId="42" fontId="14" fillId="9" borderId="16" xfId="5" applyNumberFormat="1" applyFont="1" applyFill="1" applyBorder="1" applyAlignment="1">
      <alignment horizontal="center" vertical="center"/>
    </xf>
    <xf numFmtId="42" fontId="14" fillId="9" borderId="17" xfId="5" applyNumberFormat="1" applyFont="1" applyFill="1" applyBorder="1" applyAlignment="1">
      <alignment horizontal="center" vertical="center"/>
    </xf>
    <xf numFmtId="165" fontId="19" fillId="0" borderId="0" xfId="0" applyNumberFormat="1" applyFont="1" applyBorder="1" applyAlignment="1">
      <alignment horizontal="center" vertical="center"/>
    </xf>
    <xf numFmtId="0" fontId="5" fillId="0" borderId="4" xfId="0" applyFont="1" applyBorder="1" applyAlignment="1">
      <alignment horizontal="center" vertical="center"/>
    </xf>
    <xf numFmtId="42" fontId="5" fillId="0" borderId="5" xfId="0" applyNumberFormat="1" applyFont="1" applyBorder="1" applyAlignment="1">
      <alignment horizontal="center" vertical="center"/>
    </xf>
    <xf numFmtId="165" fontId="13" fillId="0" borderId="1" xfId="0" applyNumberFormat="1" applyFont="1" applyFill="1" applyBorder="1" applyAlignment="1">
      <alignment vertical="center"/>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vertical="center" wrapText="1"/>
    </xf>
    <xf numFmtId="165" fontId="24" fillId="0" borderId="1" xfId="0" applyNumberFormat="1" applyFont="1" applyBorder="1" applyAlignment="1">
      <alignment vertical="center"/>
    </xf>
    <xf numFmtId="0" fontId="3" fillId="12" borderId="0" xfId="0" applyFont="1" applyFill="1"/>
    <xf numFmtId="165" fontId="24" fillId="0" borderId="1" xfId="0" applyNumberFormat="1" applyFont="1" applyFill="1" applyBorder="1" applyAlignment="1">
      <alignment vertical="center"/>
    </xf>
    <xf numFmtId="0" fontId="13" fillId="0" borderId="0" xfId="0" applyFont="1"/>
    <xf numFmtId="165" fontId="22" fillId="0" borderId="0" xfId="0" applyNumberFormat="1" applyFont="1" applyBorder="1" applyAlignment="1">
      <alignment horizontal="center" vertical="center"/>
    </xf>
    <xf numFmtId="165" fontId="25" fillId="0" borderId="1" xfId="0" applyNumberFormat="1" applyFont="1" applyBorder="1" applyAlignment="1">
      <alignment vertical="center"/>
    </xf>
    <xf numFmtId="165" fontId="13" fillId="10" borderId="1" xfId="0" applyNumberFormat="1" applyFont="1" applyFill="1" applyBorder="1" applyAlignment="1">
      <alignment vertical="center"/>
    </xf>
    <xf numFmtId="165" fontId="25" fillId="10" borderId="1" xfId="0" applyNumberFormat="1" applyFont="1" applyFill="1" applyBorder="1" applyAlignment="1">
      <alignment vertical="center"/>
    </xf>
    <xf numFmtId="0" fontId="27" fillId="0" borderId="0" xfId="0" applyFont="1"/>
    <xf numFmtId="0" fontId="17" fillId="3" borderId="22" xfId="3" applyFont="1" applyBorder="1" applyAlignment="1">
      <alignment horizontal="center" vertical="center" wrapText="1"/>
    </xf>
    <xf numFmtId="0" fontId="12" fillId="0" borderId="3" xfId="0" applyFont="1" applyFill="1" applyBorder="1" applyAlignment="1">
      <alignment horizontal="left" vertical="center" wrapText="1"/>
    </xf>
    <xf numFmtId="165" fontId="18" fillId="0" borderId="14" xfId="0" applyNumberFormat="1" applyFont="1" applyBorder="1" applyAlignment="1">
      <alignment horizontal="center" vertical="center"/>
    </xf>
    <xf numFmtId="0" fontId="28" fillId="0" borderId="4" xfId="0" applyFont="1" applyFill="1" applyBorder="1" applyAlignment="1">
      <alignment horizontal="left" vertical="center" wrapText="1"/>
    </xf>
    <xf numFmtId="0" fontId="11" fillId="8" borderId="1" xfId="0" applyFont="1" applyFill="1" applyBorder="1" applyAlignment="1">
      <alignment horizontal="center" vertical="center" wrapText="1"/>
    </xf>
    <xf numFmtId="0" fontId="11" fillId="8" borderId="1" xfId="3" applyFont="1" applyFill="1" applyBorder="1" applyAlignment="1">
      <alignment horizontal="center" vertical="center" wrapText="1"/>
    </xf>
    <xf numFmtId="0" fontId="11" fillId="12" borderId="1" xfId="0" applyFont="1" applyFill="1" applyBorder="1" applyAlignment="1">
      <alignment horizontal="center" vertical="center" wrapText="1"/>
    </xf>
    <xf numFmtId="0" fontId="11" fillId="12" borderId="1" xfId="3" applyFont="1" applyFill="1" applyBorder="1" applyAlignment="1">
      <alignment horizontal="center" vertical="center" wrapText="1"/>
    </xf>
    <xf numFmtId="0" fontId="30" fillId="0" borderId="0" xfId="0" applyFont="1"/>
    <xf numFmtId="0" fontId="0" fillId="0" borderId="0" xfId="0" applyFont="1" applyProtection="1">
      <protection locked="0"/>
    </xf>
    <xf numFmtId="0" fontId="17" fillId="7" borderId="2" xfId="0" applyFont="1" applyFill="1" applyBorder="1" applyAlignment="1" applyProtection="1">
      <alignment horizontal="center" vertical="center" wrapText="1"/>
      <protection locked="0"/>
    </xf>
    <xf numFmtId="0" fontId="16" fillId="7" borderId="0" xfId="0" applyFont="1" applyFill="1" applyAlignment="1" applyProtection="1">
      <alignment horizontal="center" vertical="center" wrapText="1"/>
      <protection locked="0"/>
    </xf>
    <xf numFmtId="0" fontId="0" fillId="0" borderId="0" xfId="0" applyFont="1" applyAlignment="1" applyProtection="1">
      <alignment horizontal="right"/>
      <protection locked="0"/>
    </xf>
    <xf numFmtId="0" fontId="0" fillId="0" borderId="0" xfId="0" applyFont="1" applyAlignment="1" applyProtection="1">
      <alignment horizontal="center"/>
      <protection locked="0"/>
    </xf>
    <xf numFmtId="165" fontId="18" fillId="0" borderId="0" xfId="0" applyNumberFormat="1" applyFont="1" applyFill="1" applyBorder="1" applyAlignment="1">
      <alignment horizontal="center" vertical="center"/>
    </xf>
    <xf numFmtId="42" fontId="13" fillId="0" borderId="0" xfId="0" applyNumberFormat="1" applyFont="1"/>
    <xf numFmtId="0" fontId="0" fillId="0" borderId="0" xfId="0" applyFont="1" applyAlignment="1" applyProtection="1">
      <alignment vertical="center"/>
      <protection locked="0"/>
    </xf>
    <xf numFmtId="0" fontId="0" fillId="0" borderId="0" xfId="0" applyAlignment="1">
      <alignment vertical="center"/>
    </xf>
    <xf numFmtId="0" fontId="0" fillId="0" borderId="0" xfId="0" applyFont="1" applyAlignment="1">
      <alignment vertical="center"/>
    </xf>
    <xf numFmtId="42" fontId="3" fillId="0" borderId="0" xfId="0" applyNumberFormat="1" applyFont="1"/>
    <xf numFmtId="165" fontId="18" fillId="0" borderId="12" xfId="0" applyNumberFormat="1" applyFont="1" applyBorder="1" applyAlignment="1">
      <alignment horizontal="center" vertical="center"/>
    </xf>
    <xf numFmtId="165" fontId="18" fillId="0" borderId="13" xfId="0" applyNumberFormat="1" applyFont="1" applyBorder="1" applyAlignment="1">
      <alignment horizontal="center" vertical="center"/>
    </xf>
    <xf numFmtId="0" fontId="32" fillId="0" borderId="0" xfId="0" applyFont="1" applyAlignment="1" applyProtection="1">
      <alignment horizontal="right"/>
      <protection locked="0"/>
    </xf>
    <xf numFmtId="0" fontId="32" fillId="0" borderId="0" xfId="0" applyFont="1" applyAlignment="1" applyProtection="1">
      <alignment vertical="center"/>
      <protection locked="0"/>
    </xf>
    <xf numFmtId="165" fontId="32" fillId="0" borderId="0" xfId="0" applyNumberFormat="1" applyFont="1" applyAlignment="1" applyProtection="1">
      <alignment vertical="center"/>
      <protection locked="0"/>
    </xf>
    <xf numFmtId="167" fontId="32" fillId="0" borderId="0" xfId="0" applyNumberFormat="1" applyFont="1" applyAlignment="1" applyProtection="1">
      <alignment vertical="center"/>
      <protection locked="0"/>
    </xf>
    <xf numFmtId="0" fontId="32" fillId="0" borderId="0" xfId="0" applyFont="1"/>
    <xf numFmtId="42" fontId="20" fillId="0" borderId="0" xfId="0" applyNumberFormat="1" applyFont="1" applyFill="1"/>
    <xf numFmtId="167" fontId="35" fillId="0" borderId="1" xfId="0" applyNumberFormat="1" applyFont="1" applyFill="1" applyBorder="1" applyAlignment="1" applyProtection="1">
      <alignment horizontal="center" vertical="center"/>
    </xf>
    <xf numFmtId="165" fontId="32" fillId="0" borderId="13" xfId="0" applyNumberFormat="1" applyFont="1" applyBorder="1" applyAlignment="1" applyProtection="1">
      <alignment vertical="center"/>
    </xf>
    <xf numFmtId="165" fontId="32" fillId="0" borderId="3" xfId="0" applyNumberFormat="1" applyFont="1" applyBorder="1" applyAlignment="1">
      <alignment vertical="center"/>
    </xf>
    <xf numFmtId="42" fontId="32" fillId="0" borderId="1" xfId="0" applyNumberFormat="1" applyFont="1" applyBorder="1" applyAlignment="1" applyProtection="1">
      <alignment horizontal="center" vertical="center"/>
      <protection locked="0"/>
    </xf>
    <xf numFmtId="167" fontId="32" fillId="0" borderId="13" xfId="0" applyNumberFormat="1" applyFont="1" applyBorder="1" applyAlignment="1">
      <alignment vertical="center"/>
    </xf>
    <xf numFmtId="42" fontId="32" fillId="10" borderId="1" xfId="0" applyNumberFormat="1" applyFont="1" applyFill="1" applyBorder="1" applyAlignment="1">
      <alignment horizontal="center" vertical="center"/>
    </xf>
    <xf numFmtId="3" fontId="36" fillId="0" borderId="5" xfId="0" applyNumberFormat="1" applyFont="1" applyBorder="1" applyAlignment="1" applyProtection="1">
      <alignment horizontal="center" vertical="center"/>
    </xf>
    <xf numFmtId="164" fontId="36" fillId="0" borderId="5" xfId="0" applyNumberFormat="1" applyFont="1" applyBorder="1" applyAlignment="1" applyProtection="1">
      <alignment horizontal="center" vertical="center"/>
    </xf>
    <xf numFmtId="165" fontId="36" fillId="0" borderId="14" xfId="0" applyNumberFormat="1" applyFont="1" applyBorder="1" applyAlignment="1" applyProtection="1">
      <alignment horizontal="center" vertical="center"/>
    </xf>
    <xf numFmtId="165" fontId="36" fillId="0" borderId="4" xfId="0" applyNumberFormat="1" applyFont="1" applyBorder="1" applyAlignment="1">
      <alignment horizontal="center" vertical="center"/>
    </xf>
    <xf numFmtId="165" fontId="36" fillId="0" borderId="5" xfId="0" applyNumberFormat="1" applyFont="1" applyBorder="1" applyAlignment="1" applyProtection="1">
      <alignment horizontal="center" vertical="center"/>
      <protection locked="0"/>
    </xf>
    <xf numFmtId="165" fontId="36" fillId="0" borderId="5" xfId="0" applyNumberFormat="1" applyFont="1" applyBorder="1" applyAlignment="1">
      <alignment horizontal="center" vertical="center"/>
    </xf>
    <xf numFmtId="165" fontId="36" fillId="0" borderId="14" xfId="0" applyNumberFormat="1" applyFont="1" applyBorder="1" applyAlignment="1">
      <alignment horizontal="center" vertical="center"/>
    </xf>
    <xf numFmtId="165" fontId="36" fillId="0" borderId="38" xfId="0" applyNumberFormat="1" applyFont="1" applyBorder="1" applyAlignment="1">
      <alignment horizontal="center" vertical="center"/>
    </xf>
    <xf numFmtId="164" fontId="36" fillId="0" borderId="14" xfId="0" applyNumberFormat="1" applyFont="1" applyBorder="1" applyAlignment="1">
      <alignment horizontal="center" vertical="center"/>
    </xf>
    <xf numFmtId="165" fontId="32" fillId="0" borderId="13" xfId="0" applyNumberFormat="1" applyFont="1" applyBorder="1" applyAlignment="1">
      <alignment vertical="center"/>
    </xf>
    <xf numFmtId="165" fontId="32" fillId="11" borderId="39" xfId="0" applyNumberFormat="1" applyFont="1" applyFill="1" applyBorder="1" applyAlignment="1" applyProtection="1">
      <alignment vertical="center"/>
      <protection locked="0"/>
    </xf>
    <xf numFmtId="0" fontId="21" fillId="0" borderId="3" xfId="0" applyFont="1" applyFill="1" applyBorder="1" applyAlignment="1" applyProtection="1">
      <alignment horizontal="center" vertical="center" wrapText="1"/>
    </xf>
    <xf numFmtId="0" fontId="21" fillId="0" borderId="1" xfId="0" applyFont="1" applyFill="1" applyBorder="1" applyAlignment="1" applyProtection="1">
      <alignment horizontal="left" vertical="center" wrapText="1"/>
    </xf>
    <xf numFmtId="0" fontId="21" fillId="0" borderId="1" xfId="0" applyFont="1" applyFill="1" applyBorder="1" applyAlignment="1" applyProtection="1">
      <alignment vertical="center" wrapText="1"/>
    </xf>
    <xf numFmtId="0" fontId="21" fillId="14" borderId="3" xfId="0" applyFont="1" applyFill="1" applyBorder="1" applyAlignment="1" applyProtection="1">
      <alignment horizontal="center" vertical="center" wrapText="1"/>
    </xf>
    <xf numFmtId="0" fontId="7" fillId="3" borderId="7" xfId="3" applyFont="1" applyBorder="1" applyAlignment="1">
      <alignment vertical="center"/>
    </xf>
    <xf numFmtId="0" fontId="7" fillId="3" borderId="8" xfId="3" applyFont="1" applyBorder="1" applyAlignment="1">
      <alignment vertical="center"/>
    </xf>
    <xf numFmtId="0" fontId="7" fillId="3" borderId="9" xfId="3" applyFont="1" applyBorder="1" applyAlignment="1">
      <alignment vertical="center"/>
    </xf>
    <xf numFmtId="0" fontId="40" fillId="8" borderId="4" xfId="0" applyFont="1" applyFill="1" applyBorder="1" applyAlignment="1">
      <alignment horizontal="center" vertical="center" wrapText="1"/>
    </xf>
    <xf numFmtId="0" fontId="41" fillId="0" borderId="0" xfId="0" applyFont="1" applyFill="1"/>
    <xf numFmtId="0" fontId="31" fillId="8" borderId="18" xfId="0" applyFont="1" applyFill="1" applyBorder="1" applyAlignment="1" applyProtection="1">
      <alignment horizontal="center" vertical="center" wrapText="1"/>
    </xf>
    <xf numFmtId="0" fontId="31" fillId="8" borderId="19" xfId="0" applyFont="1" applyFill="1" applyBorder="1" applyAlignment="1" applyProtection="1">
      <alignment horizontal="center" vertical="center" wrapText="1"/>
    </xf>
    <xf numFmtId="0" fontId="31" fillId="9" borderId="19" xfId="0" applyFont="1" applyFill="1" applyBorder="1" applyAlignment="1" applyProtection="1">
      <alignment horizontal="center" vertical="center" wrapText="1"/>
    </xf>
    <xf numFmtId="0" fontId="31" fillId="8" borderId="37" xfId="0" applyFont="1" applyFill="1" applyBorder="1" applyAlignment="1" applyProtection="1">
      <alignment horizontal="center" vertical="center" wrapText="1"/>
    </xf>
    <xf numFmtId="0" fontId="31" fillId="8" borderId="18" xfId="0" applyFont="1" applyFill="1" applyBorder="1" applyAlignment="1">
      <alignment horizontal="center" vertical="center" wrapText="1"/>
    </xf>
    <xf numFmtId="0" fontId="31" fillId="8" borderId="19" xfId="3" applyFont="1" applyFill="1" applyBorder="1" applyAlignment="1">
      <alignment horizontal="center" vertical="center" wrapText="1"/>
    </xf>
    <xf numFmtId="0" fontId="31" fillId="8" borderId="19" xfId="0" applyFont="1" applyFill="1" applyBorder="1" applyAlignment="1">
      <alignment horizontal="center" vertical="center" wrapText="1"/>
    </xf>
    <xf numFmtId="0" fontId="31" fillId="13" borderId="37" xfId="0" applyFont="1" applyFill="1" applyBorder="1" applyAlignment="1">
      <alignment horizontal="center" vertical="center" wrapText="1"/>
    </xf>
    <xf numFmtId="0" fontId="31" fillId="9" borderId="34" xfId="3" applyFont="1" applyFill="1" applyBorder="1" applyAlignment="1">
      <alignment horizontal="center" vertical="center" wrapText="1"/>
    </xf>
    <xf numFmtId="0" fontId="31" fillId="13" borderId="10" xfId="3" applyFont="1" applyFill="1" applyBorder="1" applyAlignment="1">
      <alignment horizontal="center" vertical="center" wrapText="1"/>
    </xf>
    <xf numFmtId="0" fontId="1" fillId="0" borderId="0" xfId="0" applyFont="1"/>
    <xf numFmtId="0" fontId="4" fillId="13" borderId="12" xfId="3" applyFont="1" applyFill="1" applyBorder="1" applyAlignment="1">
      <alignment horizontal="center" vertical="center" wrapText="1"/>
    </xf>
    <xf numFmtId="165" fontId="32" fillId="0" borderId="3" xfId="0" applyNumberFormat="1" applyFont="1" applyFill="1" applyBorder="1" applyAlignment="1" applyProtection="1">
      <alignment vertical="center"/>
    </xf>
    <xf numFmtId="169" fontId="0" fillId="0" borderId="0" xfId="0" applyNumberFormat="1" applyAlignment="1">
      <alignment vertical="center"/>
    </xf>
    <xf numFmtId="42" fontId="0" fillId="0" borderId="0" xfId="0" applyNumberFormat="1" applyFill="1"/>
    <xf numFmtId="165" fontId="0" fillId="0" borderId="0" xfId="0" applyNumberFormat="1" applyFont="1" applyProtection="1">
      <protection locked="0"/>
    </xf>
    <xf numFmtId="167" fontId="0" fillId="0" borderId="0" xfId="0" applyNumberFormat="1" applyFont="1" applyProtection="1">
      <protection locked="0"/>
    </xf>
    <xf numFmtId="166" fontId="34" fillId="11" borderId="1" xfId="2" applyNumberFormat="1" applyFont="1" applyFill="1" applyBorder="1" applyAlignment="1" applyProtection="1">
      <alignment horizontal="center" vertical="center"/>
    </xf>
    <xf numFmtId="0" fontId="18" fillId="11" borderId="0" xfId="0" applyFont="1" applyFill="1" applyAlignment="1" applyProtection="1">
      <alignment horizontal="center" vertical="center"/>
    </xf>
    <xf numFmtId="42" fontId="32" fillId="15" borderId="1" xfId="0" applyNumberFormat="1" applyFont="1" applyFill="1" applyBorder="1" applyAlignment="1" applyProtection="1">
      <alignment horizontal="center" vertical="center"/>
    </xf>
    <xf numFmtId="0" fontId="0" fillId="0" borderId="0" xfId="0" applyFont="1" applyFill="1" applyProtection="1">
      <protection locked="0"/>
    </xf>
    <xf numFmtId="165" fontId="32" fillId="13" borderId="13" xfId="0" applyNumberFormat="1" applyFont="1" applyFill="1" applyBorder="1" applyAlignment="1" applyProtection="1">
      <alignment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5" fillId="3" borderId="6" xfId="3" applyFont="1" applyBorder="1" applyAlignment="1">
      <alignment horizontal="center"/>
    </xf>
    <xf numFmtId="0" fontId="15" fillId="9" borderId="10" xfId="3" applyFont="1" applyFill="1" applyBorder="1" applyAlignment="1">
      <alignment horizontal="center"/>
    </xf>
    <xf numFmtId="0" fontId="15" fillId="9" borderId="11" xfId="3" applyFont="1" applyFill="1" applyBorder="1" applyAlignment="1">
      <alignment horizontal="center"/>
    </xf>
    <xf numFmtId="0" fontId="15" fillId="9" borderId="12" xfId="3" applyFont="1" applyFill="1" applyBorder="1" applyAlignment="1">
      <alignment horizontal="center"/>
    </xf>
    <xf numFmtId="0" fontId="0" fillId="0" borderId="0" xfId="0" applyAlignment="1">
      <alignment horizontal="center"/>
    </xf>
    <xf numFmtId="0" fontId="8" fillId="0" borderId="26"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9" xfId="0" applyFont="1" applyBorder="1" applyAlignment="1">
      <alignment horizontal="center" vertical="center" wrapText="1"/>
    </xf>
    <xf numFmtId="0" fontId="11" fillId="8" borderId="1" xfId="0" applyFont="1" applyFill="1" applyBorder="1" applyAlignment="1">
      <alignment horizontal="center" vertical="center" wrapText="1"/>
    </xf>
    <xf numFmtId="0" fontId="11" fillId="8" borderId="1" xfId="3" applyFont="1" applyFill="1" applyBorder="1" applyAlignment="1">
      <alignment horizontal="center" vertical="center" wrapText="1"/>
    </xf>
    <xf numFmtId="0" fontId="11" fillId="12" borderId="1" xfId="0" applyFont="1" applyFill="1" applyBorder="1" applyAlignment="1">
      <alignment horizontal="center" vertical="center" wrapText="1"/>
    </xf>
    <xf numFmtId="0" fontId="11" fillId="12" borderId="1" xfId="3" applyFont="1" applyFill="1" applyBorder="1" applyAlignment="1">
      <alignment horizontal="center" vertical="center" wrapText="1"/>
    </xf>
    <xf numFmtId="165" fontId="19" fillId="0" borderId="7" xfId="0" applyNumberFormat="1" applyFont="1" applyFill="1" applyBorder="1" applyAlignment="1">
      <alignment horizontal="center" vertical="center"/>
    </xf>
    <xf numFmtId="165" fontId="19" fillId="0" borderId="9" xfId="0" applyNumberFormat="1" applyFont="1" applyFill="1" applyBorder="1" applyAlignment="1">
      <alignment horizontal="center" vertical="center"/>
    </xf>
    <xf numFmtId="165" fontId="37" fillId="16" borderId="7" xfId="0" applyNumberFormat="1" applyFont="1" applyFill="1" applyBorder="1" applyAlignment="1">
      <alignment horizontal="center" vertical="center"/>
    </xf>
    <xf numFmtId="165" fontId="37" fillId="16" borderId="9" xfId="0" applyNumberFormat="1" applyFont="1" applyFill="1" applyBorder="1" applyAlignment="1">
      <alignment horizontal="center" vertical="center"/>
    </xf>
    <xf numFmtId="0" fontId="17" fillId="3" borderId="26" xfId="3" applyFont="1" applyBorder="1" applyAlignment="1">
      <alignment horizontal="center" vertical="center" wrapText="1"/>
    </xf>
    <xf numFmtId="0" fontId="17" fillId="3" borderId="27" xfId="3" applyFont="1" applyBorder="1" applyAlignment="1">
      <alignment horizontal="center" vertical="center" wrapText="1"/>
    </xf>
    <xf numFmtId="0" fontId="17" fillId="3" borderId="28" xfId="3" applyFont="1" applyBorder="1" applyAlignment="1">
      <alignment horizontal="center" vertical="center" wrapText="1"/>
    </xf>
    <xf numFmtId="0" fontId="17" fillId="3" borderId="29" xfId="3" applyFont="1" applyBorder="1" applyAlignment="1">
      <alignment horizontal="center" vertical="center" wrapText="1"/>
    </xf>
    <xf numFmtId="0" fontId="14" fillId="8" borderId="31" xfId="0" applyFont="1" applyFill="1" applyBorder="1" applyAlignment="1" applyProtection="1">
      <alignment horizontal="center" vertical="center" wrapText="1"/>
    </xf>
    <xf numFmtId="0" fontId="14" fillId="8" borderId="32" xfId="0" applyFont="1" applyFill="1" applyBorder="1" applyAlignment="1" applyProtection="1">
      <alignment horizontal="center" vertical="center" wrapText="1"/>
    </xf>
    <xf numFmtId="0" fontId="14" fillId="8" borderId="33" xfId="0" applyFont="1" applyFill="1" applyBorder="1" applyAlignment="1" applyProtection="1">
      <alignment horizontal="center" vertical="center" wrapText="1"/>
    </xf>
    <xf numFmtId="0" fontId="36" fillId="2" borderId="4" xfId="0" applyFont="1" applyFill="1" applyBorder="1" applyAlignment="1" applyProtection="1">
      <alignment horizontal="center" vertical="center"/>
    </xf>
    <xf numFmtId="0" fontId="36" fillId="2" borderId="5" xfId="0" applyFont="1" applyFill="1" applyBorder="1" applyAlignment="1" applyProtection="1">
      <alignment horizontal="center" vertical="center"/>
    </xf>
    <xf numFmtId="0" fontId="31" fillId="8" borderId="31" xfId="0" applyFont="1" applyFill="1" applyBorder="1" applyAlignment="1">
      <alignment horizontal="center" vertical="center"/>
    </xf>
    <xf numFmtId="0" fontId="31" fillId="8" borderId="32" xfId="0" applyFont="1" applyFill="1" applyBorder="1" applyAlignment="1">
      <alignment horizontal="center" vertical="center"/>
    </xf>
    <xf numFmtId="0" fontId="31" fillId="8" borderId="33" xfId="0" applyFont="1" applyFill="1" applyBorder="1" applyAlignment="1">
      <alignment horizontal="center" vertical="center"/>
    </xf>
    <xf numFmtId="0" fontId="28" fillId="0" borderId="26" xfId="0" applyFont="1" applyFill="1" applyBorder="1" applyAlignment="1">
      <alignment horizontal="center" vertical="center" wrapText="1"/>
    </xf>
    <xf numFmtId="0" fontId="28" fillId="0" borderId="30" xfId="0" applyFont="1" applyFill="1" applyBorder="1" applyAlignment="1">
      <alignment horizontal="center" vertical="center" wrapText="1"/>
    </xf>
    <xf numFmtId="0" fontId="28" fillId="0" borderId="28" xfId="0" applyFont="1" applyFill="1" applyBorder="1" applyAlignment="1">
      <alignment horizontal="center" vertical="center" wrapText="1"/>
    </xf>
    <xf numFmtId="0" fontId="33" fillId="0" borderId="34"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3" fillId="0" borderId="36" xfId="0" applyFont="1" applyBorder="1" applyAlignment="1" applyProtection="1">
      <alignment horizontal="center" vertical="center"/>
      <protection locked="0"/>
    </xf>
    <xf numFmtId="165" fontId="19" fillId="0" borderId="26" xfId="0" applyNumberFormat="1" applyFont="1" applyBorder="1" applyAlignment="1">
      <alignment horizontal="center" vertical="center"/>
    </xf>
    <xf numFmtId="165" fontId="19" fillId="0" borderId="27" xfId="0" applyNumberFormat="1" applyFont="1" applyBorder="1" applyAlignment="1">
      <alignment horizontal="center" vertical="center"/>
    </xf>
    <xf numFmtId="165" fontId="19" fillId="0" borderId="28" xfId="0" applyNumberFormat="1" applyFont="1" applyBorder="1" applyAlignment="1">
      <alignment horizontal="center" vertical="center"/>
    </xf>
    <xf numFmtId="165" fontId="19" fillId="0" borderId="29" xfId="0" applyNumberFormat="1" applyFont="1" applyBorder="1" applyAlignment="1">
      <alignment horizontal="center" vertical="center"/>
    </xf>
    <xf numFmtId="0" fontId="29" fillId="0" borderId="0" xfId="0" applyFont="1" applyBorder="1" applyAlignment="1">
      <alignment horizontal="center" vertical="center" wrapText="1"/>
    </xf>
    <xf numFmtId="0" fontId="38" fillId="0" borderId="0" xfId="0" applyFont="1" applyAlignment="1">
      <alignment horizontal="left" vertical="center" wrapText="1"/>
    </xf>
    <xf numFmtId="0" fontId="17" fillId="3" borderId="7" xfId="3" applyFont="1" applyBorder="1" applyAlignment="1">
      <alignment horizontal="center" vertical="center" wrapText="1"/>
    </xf>
    <xf numFmtId="0" fontId="17" fillId="3" borderId="9" xfId="3" applyFont="1" applyBorder="1" applyAlignment="1">
      <alignment horizontal="center" vertical="center" wrapText="1"/>
    </xf>
    <xf numFmtId="42" fontId="42" fillId="0" borderId="26" xfId="0" applyNumberFormat="1" applyFont="1" applyBorder="1" applyAlignment="1">
      <alignment horizontal="center" vertical="center"/>
    </xf>
    <xf numFmtId="0" fontId="42" fillId="0" borderId="27" xfId="0" applyFont="1" applyBorder="1" applyAlignment="1">
      <alignment horizontal="center" vertical="center"/>
    </xf>
    <xf numFmtId="0" fontId="42" fillId="0" borderId="28" xfId="0" applyFont="1" applyBorder="1" applyAlignment="1">
      <alignment horizontal="center" vertical="center"/>
    </xf>
    <xf numFmtId="0" fontId="42" fillId="0" borderId="29" xfId="0" applyFont="1" applyBorder="1" applyAlignment="1">
      <alignment horizontal="center" vertical="center"/>
    </xf>
    <xf numFmtId="0" fontId="31" fillId="8" borderId="26" xfId="0" applyFont="1" applyFill="1" applyBorder="1" applyAlignment="1">
      <alignment horizontal="center" vertical="center"/>
    </xf>
    <xf numFmtId="0" fontId="31" fillId="8" borderId="27" xfId="0" applyFont="1" applyFill="1" applyBorder="1" applyAlignment="1">
      <alignment horizontal="center" vertical="center"/>
    </xf>
    <xf numFmtId="0" fontId="33" fillId="0" borderId="34" xfId="0" applyFont="1" applyBorder="1" applyAlignment="1">
      <alignment horizontal="center" vertical="center"/>
    </xf>
    <xf numFmtId="0" fontId="33" fillId="0" borderId="35" xfId="0" applyFont="1" applyBorder="1" applyAlignment="1">
      <alignment horizontal="center" vertical="center"/>
    </xf>
    <xf numFmtId="0" fontId="33" fillId="0" borderId="36" xfId="0" applyFont="1" applyBorder="1" applyAlignment="1">
      <alignment horizontal="center" vertical="center"/>
    </xf>
    <xf numFmtId="0" fontId="0" fillId="11" borderId="0" xfId="0" applyFont="1" applyFill="1" applyAlignment="1">
      <alignment horizontal="center" vertical="center" wrapText="1" shrinkToFit="1"/>
    </xf>
  </cellXfs>
  <cellStyles count="8">
    <cellStyle name="60% - Énfasis2" xfId="4" builtinId="36"/>
    <cellStyle name="Énfasis1" xfId="5" builtinId="29"/>
    <cellStyle name="Énfasis2" xfId="3" builtinId="33"/>
    <cellStyle name="Énfasis6" xfId="6" builtinId="49"/>
    <cellStyle name="Moneda [0]" xfId="1" builtinId="7"/>
    <cellStyle name="Normal" xfId="0" builtinId="0"/>
    <cellStyle name="Normal 4" xfId="7" xr:uid="{00000000-0005-0000-0000-000006000000}"/>
    <cellStyle name="Porcentaje" xfId="2" builtinId="5"/>
  </cellStyles>
  <dxfs count="49">
    <dxf>
      <font>
        <sz val="14"/>
      </font>
    </dxf>
    <dxf>
      <font>
        <sz val="14"/>
      </font>
    </dxf>
    <dxf>
      <font>
        <color theme="0"/>
      </font>
      <fill>
        <patternFill patternType="solid">
          <fgColor indexed="64"/>
          <bgColor theme="9" tint="-0.499984740745262"/>
        </patternFill>
      </fill>
      <alignment horizontal="center" vertical="center" wrapText="1" readingOrder="0"/>
    </dxf>
    <dxf>
      <numFmt numFmtId="165" formatCode="_-&quot;$&quot;* #,##0_-;\-&quot;$&quot;* #,##0_-;_-&quot;$&quot;* &quot;-&quot;?_-;_-@_-"/>
    </dxf>
    <dxf>
      <alignment vertical="center" readingOrder="0"/>
    </dxf>
    <dxf>
      <alignment vertical="center" readingOrder="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alignment horizontal="center" readingOrder="0"/>
    </dxf>
    <dxf>
      <alignment wrapText="1" readingOrder="0"/>
    </dxf>
    <dxf>
      <alignment vertical="center" readingOrder="0"/>
    </dxf>
    <dxf>
      <font>
        <color theme="0"/>
      </font>
    </dxf>
    <dxf>
      <fill>
        <patternFill patternType="solid">
          <bgColor theme="9" tint="-0.499984740745262"/>
        </patternFill>
      </fill>
    </dxf>
    <dxf>
      <numFmt numFmtId="167" formatCode="_(* 0.0%_);_(* \(0.0%\);_(* &quot;-&quot;??_);_(@_)"/>
    </dxf>
    <dxf>
      <fill>
        <patternFill patternType="none">
          <fgColor indexed="64"/>
          <bgColor indexed="65"/>
        </patternFill>
      </fill>
    </dxf>
    <dxf>
      <alignment horizontal="center" readingOrder="0"/>
    </dxf>
    <dxf>
      <alignment horizontal="general" wrapText="1" readingOrder="0"/>
    </dxf>
    <dxf>
      <alignment vertical="center" readingOrder="0"/>
    </dxf>
    <dxf>
      <alignment vertical="bottom" readingOrder="0"/>
    </dxf>
    <dxf>
      <alignment horizontal="center" readingOrder="0"/>
    </dxf>
    <dxf>
      <font>
        <color theme="0"/>
      </font>
    </dxf>
    <dxf>
      <fill>
        <patternFill>
          <bgColor theme="9" tint="-0.499984740745262"/>
        </patternFill>
      </fill>
    </dxf>
    <dxf>
      <font>
        <sz val="12"/>
      </font>
    </dxf>
    <dxf>
      <font>
        <sz val="12"/>
      </font>
    </dxf>
    <dxf>
      <font>
        <sz val="12"/>
      </font>
    </dxf>
    <dxf>
      <font>
        <sz val="12"/>
      </font>
    </dxf>
    <dxf>
      <font>
        <sz val="12"/>
      </font>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10" Type="http://schemas.microsoft.com/office/2006/relationships/vbaProject" Target="vbaProject.bin"/><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228599</xdr:colOff>
      <xdr:row>5</xdr:row>
      <xdr:rowOff>142875</xdr:rowOff>
    </xdr:from>
    <xdr:to>
      <xdr:col>8</xdr:col>
      <xdr:colOff>666750</xdr:colOff>
      <xdr:row>7</xdr:row>
      <xdr:rowOff>76200</xdr:rowOff>
    </xdr:to>
    <xdr:sp macro="[0]!Actualizar" textlink="">
      <xdr:nvSpPr>
        <xdr:cNvPr id="3" name="Rectángulo redondeado 2">
          <a:extLst>
            <a:ext uri="{FF2B5EF4-FFF2-40B4-BE49-F238E27FC236}">
              <a16:creationId xmlns:a16="http://schemas.microsoft.com/office/drawing/2014/main" id="{00000000-0008-0000-0300-000003000000}"/>
            </a:ext>
          </a:extLst>
        </xdr:cNvPr>
        <xdr:cNvSpPr/>
      </xdr:nvSpPr>
      <xdr:spPr>
        <a:xfrm>
          <a:off x="10248899" y="1352550"/>
          <a:ext cx="2914651" cy="333375"/>
        </a:xfrm>
        <a:prstGeom prst="roundRect">
          <a:avLst/>
        </a:prstGeom>
        <a:solidFill>
          <a:schemeClr val="accent6">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400"/>
            <a:t>Actualizar</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Microsoft Office User" refreshedDate="44219.70590277778" createdVersion="6" refreshedVersion="6" minRefreshableVersion="3" recordCount="49" xr:uid="{00000000-000A-0000-FFFF-FFFF04000000}">
  <cacheSource type="worksheet">
    <worksheetSource name="BASEPP"/>
  </cacheSource>
  <cacheFields count="13">
    <cacheField name="COMPONENTE" numFmtId="0">
      <sharedItems/>
    </cacheField>
    <cacheField name="LINEA" numFmtId="0">
      <sharedItems count="5">
        <s v="Desarrollo de la Economía Local"/>
        <s v="Desarrollo social y cultural"/>
        <s v="Infraestructura"/>
        <s v="Inversiones ambientales sostenibles"/>
        <s v="Ruralidad"/>
      </sharedItems>
    </cacheField>
    <cacheField name="CONCEPTO" numFmtId="0">
      <sharedItems count="50">
        <s v="Transformación productiva y formación de capacidades"/>
        <s v="Reactivación y reconversión verde"/>
        <s v="Revitalización del corazón productivo de las localidades"/>
        <s v="Apoyo a industrias culturales y creativas."/>
        <s v="Circulación y apropiación de prácticas artísticas, interculturales, culturales y patrimoniales."/>
        <s v="Eventos recreo-deportivos."/>
        <s v="Iniciativas de interés cultural, artístico, patrimonial y recreo deportivas."/>
        <s v="Procesos de formación y dotación de insumos para los campos artísticos, interculturales, culturales, patrimoniales y deportivos."/>
        <s v="Apoyo y fortalecimiento a las industrias culturales y creativas en las localidades. "/>
        <s v="Construcción de memoria, verdad, reparación, víctimas, paz y reconciliación."/>
        <s v="Acuerdos para el uso, acceso y aprovechamiento del espacio público."/>
        <s v="Acuerdos para fortalecer la formalidad."/>
        <s v="Acuerdos para mejorar el uso de medios de transporte no motorizados."/>
        <s v="Prevención y atención de violencia intrafamiliar y sexual para poblaciones en situaciones de riesgo y vulneración de derechos."/>
        <s v="Estrategias de cuidado para cuidadoras, cuidadores y a personas con discapacidad"/>
        <s v="Prevención del feminicidio y la violencia contra la mujer."/>
        <s v="Construcción de ciudadanía y desarrollo de capacidades para el ejercicio de derechos de las mujeres."/>
        <s v="Acceso a la Justicia."/>
        <s v="Dotación para instancias de seguridad."/>
        <s v="Promoción de la convivencia ciudadana."/>
        <s v="Escuelas y procesos de formación para la participación ciudadana y/u organizaciones para los procesos de presupuestos participativos."/>
        <s v="Fortalecimiento de organizaciones sociales, comunitarias, comunales, propiedad horizontal e instancias y mecanismos de participación, con énfasis en jóvenes y asociatividad productiva."/>
        <s v="Dotación Centros de Desarrollo Comunitario."/>
        <s v="Dotación e infraestructura cultural."/>
        <s v="Dotación pedagógica a colegios."/>
        <s v="Intervención y dotación de salones comunales."/>
        <s v="Dotación a Centros Crecer, Renacer."/>
        <s v="Dotación a Jardines Infantiles, Centros Amar y Forjar."/>
        <s v="Dotación Casas de Juventud."/>
        <s v="Dotación a Centro de Atención a la Diversidad Sexual y de Géneros CAIDSG. "/>
        <s v="Construcción, mantenimiento y dotación de parques vecinales y/o de bolsillo."/>
        <s v="Construcción y/o conservación de elementos del sistema de espacio público peatonal."/>
        <s v="Construcción y/o conservación de puentes peatonales y/o vehiculares sobre cuerpos de agua (de escala local: urbana y/o rural)."/>
        <s v="Diseño, construcción y conservación (mantenimiento y rehabilitación) de la malla vial local e intermedia urbana o rural."/>
        <s v="Diseño, construcción y conservación de ciclo-infraestructura."/>
        <s v="Acuerdos con las redes locales de proteccionistas de animales para urgencias, brigadas médico veterinarias, acciones de esterilización, educación y adopción  "/>
        <s v="Agricultura urbana."/>
        <s v="Arbolado urbano y/o rural."/>
        <s v="Eco-urbanismo."/>
        <s v="Educación ambiental."/>
        <s v="Manejo de emergencias y desastres."/>
        <s v="Mitigación del riesgo. "/>
        <s v="Restauración ecológica urbana y/o rural."/>
        <s v="Cambios de hábitos de consumo, separación en la fuente y reciclaje."/>
        <s v="Asistencia técnica agropecuaria y ambiental y productividad rural"/>
        <s v="Acueductos veredales y saneamiento básico_x000a_"/>
        <s v="Mejoramiento de vivienda rural_x000a_"/>
        <s v="Energías alternativas para el área rural"/>
        <s v="Conectividad y redes de comunicación_x000a_"/>
        <s v="Apoyo y fortalecimiento a las industrias culturales y creativas en las localidades" u="1"/>
      </sharedItems>
    </cacheField>
    <cacheField name="TOTAL VOTACIONES " numFmtId="166">
      <sharedItems containsSemiMixedTypes="0" containsString="0" containsNumber="1" containsInteger="1" minValue="0" maxValue="1037"/>
    </cacheField>
    <cacheField name="% PRESUPUESTOS PARTICIPATIVOS" numFmtId="167">
      <sharedItems containsSemiMixedTypes="0" containsString="0" containsNumber="1" minValue="0" maxValue="9.2556229917886465E-2"/>
    </cacheField>
    <cacheField name="Valor 2021-2024_x000a_(millones de pesos)" numFmtId="165">
      <sharedItems containsSemiMixedTypes="0" containsString="0" containsNumber="1" minValue="0" maxValue="6175.9561957649066"/>
    </cacheField>
    <cacheField name="VALORES DEPURADOS REGLA 1 (Sin valores por debajo de 200 millones)" numFmtId="165">
      <sharedItems containsSemiMixedTypes="0" containsString="0" containsNumber="1" minValue="0" maxValue="6175.9561957649066"/>
    </cacheField>
    <cacheField name="Valor requerido cubrimiento de la demanda" numFmtId="42">
      <sharedItems containsString="0" containsBlank="1" containsNumber="1" minValue="0" maxValue="1100"/>
    </cacheField>
    <cacheField name=" VALORES REMANENTES POR CUBRIMIENTO DE LA DEMANDA" numFmtId="42">
      <sharedItems containsSemiMixedTypes="0" containsString="0" containsNumber="1" containsInteger="1" minValue="0" maxValue="0"/>
    </cacheField>
    <cacheField name="VALORES DEPURADOS SIN REMANENTES " numFmtId="165">
      <sharedItems containsSemiMixedTypes="0" containsString="0" containsNumber="1" minValue="0" maxValue="6175.9561957649066"/>
    </cacheField>
    <cacheField name="DISTRIBUCIÓN DE REMANENTES_x000a_ 2021-2024" numFmtId="165">
      <sharedItems containsString="0" containsBlank="1" containsNumber="1" minValue="10.8" maxValue="12.6"/>
    </cacheField>
    <cacheField name="VALOR TOTAL CON REMANENTES_x000a_2021-2024" numFmtId="165">
      <sharedItems containsSemiMixedTypes="0" containsString="0" containsNumber="1" minValue="0" maxValue="6175.9561957649066"/>
    </cacheField>
    <cacheField name="%" numFmtId="167">
      <sharedItems containsSemiMixedTypes="0" containsString="0" containsNumber="1" minValue="0" maxValue="9.2555860388429112E-2"/>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9">
  <r>
    <s v="PRESUPUESTOS PARTICIPATIVOS"/>
    <x v="0"/>
    <x v="0"/>
    <n v="225"/>
    <n v="2.0082113530881827E-2"/>
    <n v="1340.0097821090685"/>
    <n v="1340.0097821090685"/>
    <m/>
    <n v="0"/>
    <n v="1340.0097821090685"/>
    <m/>
    <n v="1340.0097821090685"/>
    <n v="2.0082033353323578E-2"/>
  </r>
  <r>
    <s v="PRESUPUESTOS PARTICIPATIVOS"/>
    <x v="0"/>
    <x v="1"/>
    <n v="51"/>
    <n v="4.5519457336665476E-3"/>
    <n v="303.73555061138887"/>
    <n v="303.73555061138887"/>
    <m/>
    <n v="0"/>
    <n v="303.73555061138887"/>
    <m/>
    <n v="303.73555061138887"/>
    <n v="4.5519275600866774E-3"/>
  </r>
  <r>
    <s v="PRESUPUESTOS PARTICIPATIVOS"/>
    <x v="0"/>
    <x v="2"/>
    <n v="126"/>
    <n v="1.1245983577293823E-2"/>
    <n v="750.40547798107832"/>
    <n v="750.40547798107832"/>
    <m/>
    <n v="0"/>
    <n v="750.40547798107832"/>
    <m/>
    <n v="750.40547798107832"/>
    <n v="1.1245938677861203E-2"/>
  </r>
  <r>
    <s v="PRESUPUESTOS PARTICIPATIVOS"/>
    <x v="0"/>
    <x v="3"/>
    <n v="0"/>
    <n v="0"/>
    <n v="0"/>
    <n v="0"/>
    <m/>
    <n v="0"/>
    <n v="0"/>
    <m/>
    <n v="0"/>
    <n v="0"/>
  </r>
  <r>
    <s v="PRESUPUESTOS PARTICIPATIVOS"/>
    <x v="1"/>
    <x v="4"/>
    <n v="137"/>
    <n v="1.2227775794359158E-2"/>
    <n v="815.91706732863281"/>
    <n v="815.91706732863281"/>
    <m/>
    <n v="0"/>
    <n v="815.91706732863281"/>
    <m/>
    <n v="815.91706732863281"/>
    <n v="1.2227726975134801E-2"/>
  </r>
  <r>
    <s v="PRESUPUESTOS PARTICIPATIVOS"/>
    <x v="1"/>
    <x v="5"/>
    <n v="437"/>
    <n v="3.900392716886826E-2"/>
    <n v="2602.5967768073906"/>
    <n v="2602.5967768073906"/>
    <m/>
    <n v="0"/>
    <n v="2602.5967768073906"/>
    <m/>
    <n v="2602.5967768073906"/>
    <n v="3.9003771446232897E-2"/>
  </r>
  <r>
    <s v="PRESUPUESTOS PARTICIPATIVOS"/>
    <x v="1"/>
    <x v="6"/>
    <n v="189"/>
    <n v="1.6868975365940734E-2"/>
    <n v="1125.6082169716174"/>
    <n v="1125.6082169716174"/>
    <m/>
    <n v="0"/>
    <n v="1125.6082169716174"/>
    <m/>
    <n v="1125.6082169716174"/>
    <n v="1.6868908016791802E-2"/>
  </r>
  <r>
    <s v="PRESUPUESTOS PARTICIPATIVOS"/>
    <x v="1"/>
    <x v="7"/>
    <n v="430"/>
    <n v="3.8379150303463047E-2"/>
    <n v="2560.9075835862195"/>
    <n v="2560.9075835862195"/>
    <m/>
    <n v="0"/>
    <n v="2560.9075835862195"/>
    <m/>
    <n v="2560.9075835862195"/>
    <n v="3.837899707524061E-2"/>
  </r>
  <r>
    <s v="PRESUPUESTOS PARTICIPATIVOS"/>
    <x v="1"/>
    <x v="8"/>
    <n v="129"/>
    <n v="1.1513745091038915E-2"/>
    <n v="768.27227507586599"/>
    <n v="768.27227507586599"/>
    <m/>
    <n v="0"/>
    <n v="768.27227507586599"/>
    <m/>
    <n v="768.27227507586599"/>
    <n v="1.1513699122572186E-2"/>
  </r>
  <r>
    <s v="PRESUPUESTOS PARTICIPATIVOS"/>
    <x v="1"/>
    <x v="9"/>
    <n v="284"/>
    <n v="2.5348089967868619E-2"/>
    <n v="1691.3901249732244"/>
    <n v="1691.3901249732244"/>
    <m/>
    <n v="0"/>
    <n v="1691.3901249732244"/>
    <m/>
    <n v="1691.3901249732244"/>
    <n v="2.5347988765972874E-2"/>
  </r>
  <r>
    <s v="PRESUPUESTOS PARTICIPATIVOS"/>
    <x v="1"/>
    <x v="10"/>
    <n v="0"/>
    <n v="0"/>
    <n v="0"/>
    <n v="0"/>
    <n v="824"/>
    <n v="0"/>
    <n v="0"/>
    <m/>
    <n v="0"/>
    <n v="0"/>
  </r>
  <r>
    <s v="PRESUPUESTOS PARTICIPATIVOS"/>
    <x v="1"/>
    <x v="11"/>
    <n v="0"/>
    <n v="0"/>
    <n v="0"/>
    <n v="0"/>
    <n v="1100"/>
    <n v="0"/>
    <n v="0"/>
    <m/>
    <n v="0"/>
    <n v="0"/>
  </r>
  <r>
    <s v="PRESUPUESTOS PARTICIPATIVOS"/>
    <x v="1"/>
    <x v="12"/>
    <n v="83"/>
    <n v="7.4080685469475188E-3"/>
    <n v="494.31471962245638"/>
    <n v="494.31471962245638"/>
    <n v="824"/>
    <n v="0"/>
    <n v="494.31471962245638"/>
    <m/>
    <n v="494.31471962245638"/>
    <n v="7.4080389703371418E-3"/>
  </r>
  <r>
    <s v="PRESUPUESTOS PARTICIPATIVOS"/>
    <x v="1"/>
    <x v="13"/>
    <n v="158"/>
    <n v="1.4102106390574794E-2"/>
    <n v="940.98464699214583"/>
    <n v="940.98464699214583"/>
    <m/>
    <n v="0"/>
    <n v="940.98464699214583"/>
    <m/>
    <n v="940.98464699214583"/>
    <n v="1.4102050088111667E-2"/>
  </r>
  <r>
    <s v="PRESUPUESTOS PARTICIPATIVOS"/>
    <x v="1"/>
    <x v="14"/>
    <n v="370"/>
    <n v="3.3023920028561228E-2"/>
    <n v="2203.5716416904684"/>
    <n v="2203.5716416904684"/>
    <m/>
    <n v="0"/>
    <n v="2203.5716416904684"/>
    <m/>
    <n v="2203.5716416904684"/>
    <n v="3.3023788181020995E-2"/>
  </r>
  <r>
    <s v="PRESUPUESTOS PARTICIPATIVOS"/>
    <x v="1"/>
    <x v="15"/>
    <n v="184"/>
    <n v="1.6422706176365584E-2"/>
    <n v="1095.8302218136382"/>
    <n v="1095.8302218136382"/>
    <m/>
    <n v="0"/>
    <n v="1095.8302218136382"/>
    <m/>
    <n v="1095.8302218136382"/>
    <n v="1.6422640608940171E-2"/>
  </r>
  <r>
    <s v="PRESUPUESTOS PARTICIPATIVOS"/>
    <x v="1"/>
    <x v="16"/>
    <n v="290"/>
    <n v="2.5883612995358799E-2"/>
    <n v="1727.1237191627993"/>
    <n v="1727.1237191627993"/>
    <m/>
    <n v="0"/>
    <n v="1727.1237191627993"/>
    <m/>
    <n v="1727.1237191627993"/>
    <n v="2.5883509655394831E-2"/>
  </r>
  <r>
    <s v="PRESUPUESTOS PARTICIPATIVOS"/>
    <x v="1"/>
    <x v="17"/>
    <n v="100"/>
    <n v="8.9253837915030353E-3"/>
    <n v="595.55990315958604"/>
    <n v="595.55990315958604"/>
    <m/>
    <n v="0"/>
    <n v="595.55990315958604"/>
    <m/>
    <n v="595.55990315958604"/>
    <n v="8.9253481570327024E-3"/>
  </r>
  <r>
    <s v="PRESUPUESTOS PARTICIPATIVOS"/>
    <x v="1"/>
    <x v="18"/>
    <n v="97"/>
    <n v="8.6576222777579436E-3"/>
    <n v="577.69310606479837"/>
    <n v="577.69310606479837"/>
    <m/>
    <n v="0"/>
    <n v="577.69310606479837"/>
    <m/>
    <n v="577.69310606479837"/>
    <n v="8.6575877123217185E-3"/>
  </r>
  <r>
    <s v="PRESUPUESTOS PARTICIPATIVOS"/>
    <x v="1"/>
    <x v="19"/>
    <n v="50"/>
    <n v="4.4626918957515176E-3"/>
    <n v="297.77995157979302"/>
    <n v="297.77995157979302"/>
    <m/>
    <n v="0"/>
    <n v="297.77995157979302"/>
    <m/>
    <n v="297.77995157979302"/>
    <n v="4.4626740785163512E-3"/>
  </r>
  <r>
    <s v="PRESUPUESTOS PARTICIPATIVOS / FLEXIBLE"/>
    <x v="1"/>
    <x v="20"/>
    <n v="212"/>
    <n v="1.8921813637986434E-2"/>
    <n v="1262.5869946983223"/>
    <n v="1262.5869946983223"/>
    <m/>
    <n v="0"/>
    <n v="1262.5869946983223"/>
    <m/>
    <n v="1262.5869946983223"/>
    <n v="1.8921738092909327E-2"/>
  </r>
  <r>
    <s v="PRESUPUESTOS PARTICIPATIVOS / FLEXIBLE"/>
    <x v="1"/>
    <x v="21"/>
    <n v="374"/>
    <n v="3.3380935380221348E-2"/>
    <n v="2227.3940378168513"/>
    <n v="2227.3940378168513"/>
    <m/>
    <n v="0"/>
    <n v="2227.3940378168513"/>
    <m/>
    <n v="2227.3940378168513"/>
    <n v="3.33808021073023E-2"/>
  </r>
  <r>
    <s v="PRESUPUESTOS PARTICIPATIVOS"/>
    <x v="2"/>
    <x v="22"/>
    <n v="0"/>
    <n v="0"/>
    <n v="0"/>
    <n v="0"/>
    <n v="0"/>
    <n v="0"/>
    <n v="0"/>
    <m/>
    <n v="0"/>
    <n v="0"/>
  </r>
  <r>
    <s v="PRESUPUESTOS PARTICIPATIVOS"/>
    <x v="2"/>
    <x v="23"/>
    <n v="338"/>
    <n v="3.0167797215280259E-2"/>
    <n v="2012.9924726794006"/>
    <n v="2012.9924726794006"/>
    <m/>
    <n v="0"/>
    <n v="2012.9924726794006"/>
    <m/>
    <n v="2012.9924726794006"/>
    <n v="3.0167676770770528E-2"/>
  </r>
  <r>
    <s v="PRESUPUESTOS PARTICIPATIVOS"/>
    <x v="2"/>
    <x v="24"/>
    <n v="352"/>
    <n v="3.1417350946090682E-2"/>
    <n v="2096.3708591217428"/>
    <n v="2096.3708591217428"/>
    <m/>
    <n v="0"/>
    <n v="2096.3708591217428"/>
    <m/>
    <n v="2096.3708591217428"/>
    <n v="3.1417225512755109E-2"/>
  </r>
  <r>
    <s v="PRESUPUESTOS PARTICIPATIVOS"/>
    <x v="2"/>
    <x v="25"/>
    <n v="577"/>
    <n v="5.1499464476972512E-2"/>
    <n v="3436.3806412308113"/>
    <n v="3436.3806412308113"/>
    <m/>
    <n v="0"/>
    <n v="3436.3806412308113"/>
    <m/>
    <n v="3436.3806412308113"/>
    <n v="5.1499258866078687E-2"/>
  </r>
  <r>
    <s v="PRESUPUESTOS PARTICIPATIVOS"/>
    <x v="2"/>
    <x v="26"/>
    <n v="0"/>
    <n v="0"/>
    <n v="0"/>
    <n v="0"/>
    <n v="0"/>
    <n v="0"/>
    <n v="0"/>
    <m/>
    <n v="0"/>
    <n v="0"/>
  </r>
  <r>
    <s v="PRESUPUESTOS PARTICIPATIVOS"/>
    <x v="2"/>
    <x v="27"/>
    <n v="0"/>
    <n v="0"/>
    <n v="0"/>
    <n v="0"/>
    <n v="203.50310400000001"/>
    <n v="0"/>
    <n v="0"/>
    <m/>
    <n v="0"/>
    <n v="0"/>
  </r>
  <r>
    <s v="PRESUPUESTOS PARTICIPATIVOS"/>
    <x v="2"/>
    <x v="28"/>
    <n v="0"/>
    <n v="0"/>
    <n v="0"/>
    <n v="0"/>
    <n v="0"/>
    <n v="0"/>
    <n v="0"/>
    <m/>
    <n v="0"/>
    <n v="0"/>
  </r>
  <r>
    <s v="PRESUPUESTOS PARTICIPATIVOS"/>
    <x v="2"/>
    <x v="29"/>
    <n v="0"/>
    <n v="0"/>
    <n v="0"/>
    <n v="0"/>
    <n v="0"/>
    <n v="0"/>
    <n v="0"/>
    <m/>
    <n v="0"/>
    <n v="0"/>
  </r>
  <r>
    <s v="PRESUPUESTOS PARTICIPATIVOS"/>
    <x v="2"/>
    <x v="30"/>
    <n v="199"/>
    <n v="1.7761513745091041E-2"/>
    <n v="1185.1642072875761"/>
    <n v="1185.1642072875761"/>
    <m/>
    <n v="0"/>
    <n v="1185.1642072875761"/>
    <m/>
    <n v="1185.1642072875761"/>
    <n v="1.7761442832495075E-2"/>
  </r>
  <r>
    <s v="PRESUPUESTOS PARTICIPATIVOS"/>
    <x v="2"/>
    <x v="31"/>
    <n v="65"/>
    <n v="5.8014994644769724E-3"/>
    <n v="387.11393705373087"/>
    <n v="387.11393705373087"/>
    <m/>
    <n v="0"/>
    <n v="387.11393705373087"/>
    <m/>
    <n v="387.11393705373087"/>
    <n v="5.801476302071255E-3"/>
  </r>
  <r>
    <s v="PRESUPUESTOS PARTICIPATIVOS"/>
    <x v="2"/>
    <x v="32"/>
    <n v="282"/>
    <n v="2.5169582292038559E-2"/>
    <n v="1679.4789269100327"/>
    <n v="1679.4789269100327"/>
    <m/>
    <n v="0"/>
    <n v="1679.4789269100327"/>
    <n v="10.8"/>
    <n v="1690.2789269100326"/>
    <n v="2.5331335815475718E-2"/>
  </r>
  <r>
    <s v="PRESUPUESTOS PARTICIPATIVOS"/>
    <x v="2"/>
    <x v="33"/>
    <n v="990"/>
    <n v="8.8361299535880039E-2"/>
    <n v="5896.0430412799014"/>
    <n v="5896.0430412799014"/>
    <m/>
    <n v="0"/>
    <n v="5896.0430412799014"/>
    <n v="12.6"/>
    <n v="5908.6430412799018"/>
    <n v="8.8549776436041158E-2"/>
  </r>
  <r>
    <s v="PRESUPUESTOS PARTICIPATIVOS"/>
    <x v="2"/>
    <x v="34"/>
    <n v="0"/>
    <n v="0"/>
    <n v="0"/>
    <n v="0"/>
    <m/>
    <n v="0"/>
    <n v="0"/>
    <m/>
    <n v="0"/>
    <n v="0"/>
  </r>
  <r>
    <s v="PRESUPUESTOS PARTICIPATIVOS"/>
    <x v="3"/>
    <x v="35"/>
    <n v="286"/>
    <n v="2.5526597643698679E-2"/>
    <n v="1703.3013230364159"/>
    <n v="1703.3013230364159"/>
    <m/>
    <n v="0"/>
    <n v="1703.3013230364159"/>
    <m/>
    <n v="1703.3013230364159"/>
    <n v="2.5526495729113523E-2"/>
  </r>
  <r>
    <s v="PRESUPUESTOS PARTICIPATIVOS"/>
    <x v="3"/>
    <x v="36"/>
    <n v="0"/>
    <n v="0"/>
    <n v="0"/>
    <n v="0"/>
    <m/>
    <n v="0"/>
    <n v="0"/>
    <m/>
    <n v="0"/>
    <n v="0"/>
  </r>
  <r>
    <s v="PRESUPUESTOS PARTICIPATIVOS"/>
    <x v="3"/>
    <x v="37"/>
    <n v="39"/>
    <n v="3.4808996786861836E-3"/>
    <n v="232.26836223223853"/>
    <n v="232.26836223223853"/>
    <n v="0"/>
    <n v="0"/>
    <n v="232.26836223223853"/>
    <m/>
    <n v="232.26836223223853"/>
    <n v="3.4808857812427532E-3"/>
  </r>
  <r>
    <s v="PRESUPUESTOS PARTICIPATIVOS"/>
    <x v="3"/>
    <x v="38"/>
    <n v="6"/>
    <n v="5.355230274901821E-4"/>
    <n v="35.733594189575165"/>
    <n v="0"/>
    <m/>
    <n v="0"/>
    <n v="0"/>
    <m/>
    <n v="0"/>
    <n v="0"/>
  </r>
  <r>
    <s v="PRESUPUESTOS PARTICIPATIVOS"/>
    <x v="3"/>
    <x v="39"/>
    <n v="116"/>
    <n v="1.035344519814352E-2"/>
    <n v="690.84948766511968"/>
    <n v="690.84948766511968"/>
    <m/>
    <n v="0"/>
    <n v="690.84948766511968"/>
    <m/>
    <n v="690.84948766511968"/>
    <n v="1.0353403862157932E-2"/>
  </r>
  <r>
    <s v="PRESUPUESTOS PARTICIPATIVOS"/>
    <x v="3"/>
    <x v="40"/>
    <n v="67"/>
    <n v="5.9800071403070332E-3"/>
    <n v="399.02513511692263"/>
    <n v="399.02513511692263"/>
    <m/>
    <n v="0"/>
    <n v="399.02513511692263"/>
    <m/>
    <n v="399.02513511692263"/>
    <n v="5.9799832652119101E-3"/>
  </r>
  <r>
    <s v="PRESUPUESTOS PARTICIPATIVOS"/>
    <x v="3"/>
    <x v="41"/>
    <n v="38"/>
    <n v="3.3916458407711532E-3"/>
    <n v="226.31276320064268"/>
    <n v="226.31276320064268"/>
    <m/>
    <n v="0"/>
    <n v="226.31276320064268"/>
    <n v="12.6"/>
    <n v="238.91276320064267"/>
    <n v="3.5804619810898427E-3"/>
  </r>
  <r>
    <s v="PRESUPUESTOS PARTICIPATIVOS"/>
    <x v="3"/>
    <x v="42"/>
    <n v="67"/>
    <n v="5.9800071403070332E-3"/>
    <n v="399.02513511692263"/>
    <n v="399.02513511692263"/>
    <m/>
    <n v="0"/>
    <n v="399.02513511692263"/>
    <m/>
    <n v="399.02513511692263"/>
    <n v="5.9799832652119101E-3"/>
  </r>
  <r>
    <s v="PRESUPUESTOS PARTICIPATIVOS"/>
    <x v="3"/>
    <x v="43"/>
    <n v="121"/>
    <n v="1.0799714387718672E-2"/>
    <n v="720.62748282309906"/>
    <n v="720.62748282309906"/>
    <m/>
    <n v="0"/>
    <n v="720.62748282309906"/>
    <m/>
    <n v="720.62748282309906"/>
    <n v="1.0799671270009569E-2"/>
  </r>
  <r>
    <s v="PRESUPUESTOS PARTICIPATIVOS"/>
    <x v="4"/>
    <x v="44"/>
    <n v="657"/>
    <n v="5.8639771510174937E-2"/>
    <n v="3912.82856375848"/>
    <n v="3912.82856375848"/>
    <m/>
    <n v="0"/>
    <n v="3912.82856375848"/>
    <m/>
    <n v="3912.82856375848"/>
    <n v="5.8639537391704848E-2"/>
  </r>
  <r>
    <s v="PRESUPUESTOS PARTICIPATIVOS"/>
    <x v="4"/>
    <x v="45"/>
    <n v="592"/>
    <n v="5.2838272045697965E-2"/>
    <n v="3525.7146267047492"/>
    <n v="3525.7146267047492"/>
    <m/>
    <n v="0"/>
    <n v="3525.7146267047492"/>
    <m/>
    <n v="3525.7146267047492"/>
    <n v="5.2838061089633591E-2"/>
  </r>
  <r>
    <s v="PRESUPUESTOS PARTICIPATIVOS"/>
    <x v="4"/>
    <x v="46"/>
    <n v="902"/>
    <n v="8.0506961799357374E-2"/>
    <n v="5371.9503264994655"/>
    <n v="5371.9503264994655"/>
    <m/>
    <n v="0"/>
    <n v="5371.9503264994655"/>
    <m/>
    <n v="5371.9503264994655"/>
    <n v="8.0506640376434957E-2"/>
  </r>
  <r>
    <s v="PRESUPUESTOS PARTICIPATIVOS"/>
    <x v="4"/>
    <x v="47"/>
    <n v="547"/>
    <n v="4.8821849339521599E-2"/>
    <n v="3257.7126702829355"/>
    <n v="3257.7126702829355"/>
    <m/>
    <n v="0"/>
    <n v="3257.7126702829355"/>
    <m/>
    <n v="3257.7126702829355"/>
    <n v="4.8821654418968879E-2"/>
  </r>
  <r>
    <s v="PRESUPUESTOS PARTICIPATIVOS"/>
    <x v="4"/>
    <x v="48"/>
    <n v="1037"/>
    <n v="9.2556229917886465E-2"/>
    <n v="6175.9561957649066"/>
    <n v="6175.9561957649066"/>
    <m/>
    <n v="0"/>
    <n v="6175.9561957649066"/>
    <m/>
    <n v="6175.9561957649066"/>
    <n v="9.2555860388429112E-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TablaDinámica1" cacheId="12" applyNumberFormats="0" applyBorderFormats="0" applyFontFormats="0" applyPatternFormats="0" applyAlignmentFormats="0" applyWidthHeightFormats="1" dataCaption="Valores" updatedVersion="6" minRefreshableVersion="3" itemPrintTitles="1" createdVersion="6" indent="0" compact="0" compactData="0" multipleFieldFilters="0">
  <location ref="B3:D42" firstHeaderRow="0" firstDataRow="1" firstDataCol="1"/>
  <pivotFields count="13">
    <pivotField compact="0" outline="0" showAll="0">
      <extLst>
        <ext xmlns:x14="http://schemas.microsoft.com/office/spreadsheetml/2009/9/main" uri="{2946ED86-A175-432a-8AC1-64E0C546D7DE}">
          <x14:pivotField fillDownLabels="1"/>
        </ext>
      </extLst>
    </pivotField>
    <pivotField compact="0" outline="0" showAll="0" defaultSubtotal="0">
      <items count="5">
        <item x="0"/>
        <item x="1"/>
        <item x="2"/>
        <item x="3"/>
        <item x="4"/>
      </items>
      <extLst>
        <ext xmlns:x14="http://schemas.microsoft.com/office/spreadsheetml/2009/9/main" uri="{2946ED86-A175-432a-8AC1-64E0C546D7DE}">
          <x14:pivotField fillDownLabels="1"/>
        </ext>
      </extLst>
    </pivotField>
    <pivotField axis="axisRow" compact="0" outline="0" showAll="0" measureFilter="1" sortType="descending">
      <items count="51">
        <item x="0"/>
        <item x="2"/>
        <item x="42"/>
        <item x="1"/>
        <item x="19"/>
        <item x="7"/>
        <item x="13"/>
        <item x="15"/>
        <item x="41"/>
        <item x="40"/>
        <item x="25"/>
        <item x="6"/>
        <item x="21"/>
        <item x="5"/>
        <item x="14"/>
        <item x="20"/>
        <item x="39"/>
        <item x="38"/>
        <item x="24"/>
        <item x="18"/>
        <item x="23"/>
        <item x="22"/>
        <item x="28"/>
        <item x="27"/>
        <item x="26"/>
        <item x="29"/>
        <item x="34"/>
        <item x="33"/>
        <item x="30"/>
        <item x="32"/>
        <item x="31"/>
        <item x="9"/>
        <item x="16"/>
        <item x="4"/>
        <item x="43"/>
        <item x="37"/>
        <item x="8"/>
        <item m="1" x="49"/>
        <item x="36"/>
        <item x="12"/>
        <item x="11"/>
        <item x="10"/>
        <item x="35"/>
        <item x="17"/>
        <item x="44"/>
        <item x="45"/>
        <item x="46"/>
        <item x="47"/>
        <item x="48"/>
        <item x="3"/>
        <item t="default"/>
      </items>
      <autoSortScope>
        <pivotArea dataOnly="0" outline="0" fieldPosition="0">
          <references count="1">
            <reference field="4294967294" count="1" selected="0">
              <x v="1"/>
            </reference>
          </references>
        </pivotArea>
      </autoSortScope>
      <extLst>
        <ext xmlns:x14="http://schemas.microsoft.com/office/spreadsheetml/2009/9/main" uri="{2946ED86-A175-432a-8AC1-64E0C546D7DE}">
          <x14:pivotField fillDownLabels="1"/>
        </ext>
      </extLst>
    </pivotField>
    <pivotField compact="0" numFmtId="166" outline="0" showAll="0" defaultSubtotal="0">
      <extLst>
        <ext xmlns:x14="http://schemas.microsoft.com/office/spreadsheetml/2009/9/main" uri="{2946ED86-A175-432a-8AC1-64E0C546D7DE}">
          <x14:pivotField fillDownLabels="1"/>
        </ext>
      </extLst>
    </pivotField>
    <pivotField name="% PRESUPUESTOS PARTICIPATIVOS2" compact="0" numFmtId="167" outline="0" showAll="0" defaultSubtotal="0">
      <extLst>
        <ext xmlns:x14="http://schemas.microsoft.com/office/spreadsheetml/2009/9/main" uri="{2946ED86-A175-432a-8AC1-64E0C546D7DE}">
          <x14:pivotField fillDownLabels="1"/>
        </ext>
      </extLst>
    </pivotField>
    <pivotField compact="0" numFmtId="165" outline="0" showAll="0" defaultSubtotal="0">
      <extLst>
        <ext xmlns:x14="http://schemas.microsoft.com/office/spreadsheetml/2009/9/main" uri="{2946ED86-A175-432a-8AC1-64E0C546D7DE}">
          <x14:pivotField fillDownLabels="1"/>
        </ext>
      </extLst>
    </pivotField>
    <pivotField compact="0" numFmtId="165"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numFmtId="165" outline="0" showAll="0" defaultSubtotal="0">
      <extLst>
        <ext xmlns:x14="http://schemas.microsoft.com/office/spreadsheetml/2009/9/main" uri="{2946ED86-A175-432a-8AC1-64E0C546D7DE}">
          <x14:pivotField fillDownLabels="1"/>
        </ext>
      </extLst>
    </pivotField>
    <pivotField compact="0" numFmtId="165" outline="0" showAll="0" defaultSubtotal="0">
      <extLst>
        <ext xmlns:x14="http://schemas.microsoft.com/office/spreadsheetml/2009/9/main" uri="{2946ED86-A175-432a-8AC1-64E0C546D7DE}">
          <x14:pivotField fillDownLabels="1"/>
        </ext>
      </extLst>
    </pivotField>
    <pivotField dataField="1" compact="0" numFmtId="165" outline="0" showAll="0" defaultSubtotal="0">
      <extLst>
        <ext xmlns:x14="http://schemas.microsoft.com/office/spreadsheetml/2009/9/main" uri="{2946ED86-A175-432a-8AC1-64E0C546D7DE}">
          <x14:pivotField fillDownLabels="1"/>
        </ext>
      </extLst>
    </pivotField>
    <pivotField dataField="1" compact="0" numFmtId="164" outline="0" showAll="0" defaultSubtotal="0">
      <extLst>
        <ext xmlns:x14="http://schemas.microsoft.com/office/spreadsheetml/2009/9/main" uri="{2946ED86-A175-432a-8AC1-64E0C546D7DE}">
          <x14:pivotField fillDownLabels="1"/>
        </ext>
      </extLst>
    </pivotField>
  </pivotFields>
  <rowFields count="1">
    <field x="2"/>
  </rowFields>
  <rowItems count="39">
    <i>
      <x v="48"/>
    </i>
    <i>
      <x v="27"/>
    </i>
    <i>
      <x v="46"/>
    </i>
    <i>
      <x v="44"/>
    </i>
    <i>
      <x v="45"/>
    </i>
    <i>
      <x v="10"/>
    </i>
    <i>
      <x v="47"/>
    </i>
    <i>
      <x v="13"/>
    </i>
    <i>
      <x v="5"/>
    </i>
    <i>
      <x v="12"/>
    </i>
    <i>
      <x v="14"/>
    </i>
    <i>
      <x v="18"/>
    </i>
    <i>
      <x v="20"/>
    </i>
    <i>
      <x v="32"/>
    </i>
    <i>
      <x v="42"/>
    </i>
    <i>
      <x v="31"/>
    </i>
    <i>
      <x v="29"/>
    </i>
    <i>
      <x/>
    </i>
    <i>
      <x v="15"/>
    </i>
    <i>
      <x v="28"/>
    </i>
    <i>
      <x v="11"/>
    </i>
    <i>
      <x v="7"/>
    </i>
    <i>
      <x v="6"/>
    </i>
    <i>
      <x v="33"/>
    </i>
    <i>
      <x v="36"/>
    </i>
    <i>
      <x v="1"/>
    </i>
    <i>
      <x v="34"/>
    </i>
    <i>
      <x v="16"/>
    </i>
    <i>
      <x v="43"/>
    </i>
    <i>
      <x v="19"/>
    </i>
    <i>
      <x v="39"/>
    </i>
    <i>
      <x v="2"/>
    </i>
    <i>
      <x v="9"/>
    </i>
    <i>
      <x v="30"/>
    </i>
    <i>
      <x v="3"/>
    </i>
    <i>
      <x v="4"/>
    </i>
    <i>
      <x v="8"/>
    </i>
    <i>
      <x v="35"/>
    </i>
    <i t="grand">
      <x/>
    </i>
  </rowItems>
  <colFields count="1">
    <field x="-2"/>
  </colFields>
  <colItems count="2">
    <i>
      <x/>
    </i>
    <i i="1">
      <x v="1"/>
    </i>
  </colItems>
  <dataFields count="2">
    <dataField name="VALOR TOTAL 2021-2024" fld="11" baseField="2" baseItem="47" numFmtId="165"/>
    <dataField name="PORCENTAJE" fld="12" baseField="2" baseItem="0" numFmtId="167"/>
  </dataFields>
  <formats count="39">
    <format dxfId="38">
      <pivotArea type="all" dataOnly="0" outline="0" fieldPosition="0"/>
    </format>
    <format dxfId="37">
      <pivotArea outline="0" collapsedLevelsAreSubtotals="1" fieldPosition="0"/>
    </format>
    <format dxfId="36">
      <pivotArea field="1" type="button" dataOnly="0" labelOnly="1" outline="0"/>
    </format>
    <format dxfId="35">
      <pivotArea field="2" type="button" dataOnly="0" labelOnly="1" outline="0" axis="axisRow" fieldPosition="0"/>
    </format>
    <format dxfId="34">
      <pivotArea dataOnly="0" labelOnly="1" grandRow="1" outline="0" fieldPosition="0"/>
    </format>
    <format dxfId="33">
      <pivotArea field="2" type="button" dataOnly="0" labelOnly="1" outline="0" axis="axisRow" fieldPosition="0"/>
    </format>
    <format dxfId="32">
      <pivotArea field="2" type="button" dataOnly="0" labelOnly="1" outline="0" axis="axisRow" fieldPosition="0"/>
    </format>
    <format dxfId="31">
      <pivotArea field="2" type="button" dataOnly="0" labelOnly="1" outline="0" axis="axisRow" fieldPosition="0"/>
    </format>
    <format dxfId="30">
      <pivotArea field="2" type="button" dataOnly="0" labelOnly="1" outline="0" axis="axisRow" fieldPosition="0"/>
    </format>
    <format dxfId="29">
      <pivotArea field="2" type="button" dataOnly="0" labelOnly="1" outline="0" axis="axisRow" fieldPosition="0"/>
    </format>
    <format dxfId="28">
      <pivotArea field="2" type="button" dataOnly="0" labelOnly="1" outline="0" axis="axisRow" fieldPosition="0"/>
    </format>
    <format dxfId="27">
      <pivotArea field="2" type="button" dataOnly="0" labelOnly="1" outline="0" axis="axisRow" fieldPosition="0"/>
    </format>
    <format dxfId="26">
      <pivotArea dataOnly="0" labelOnly="1" outline="0" fieldPosition="0">
        <references count="1">
          <reference field="2" count="1">
            <x v="36"/>
          </reference>
        </references>
      </pivotArea>
    </format>
    <format dxfId="25">
      <pivotArea outline="0" fieldPosition="0">
        <references count="1">
          <reference field="4294967294" count="1">
            <x v="1"/>
          </reference>
        </references>
      </pivotArea>
    </format>
    <format dxfId="24">
      <pivotArea dataOnly="0" labelOnly="1" outline="0" fieldPosition="0">
        <references count="1">
          <reference field="4294967294" count="1">
            <x v="1"/>
          </reference>
        </references>
      </pivotArea>
    </format>
    <format dxfId="23">
      <pivotArea dataOnly="0" labelOnly="1" outline="0" fieldPosition="0">
        <references count="1">
          <reference field="4294967294" count="1">
            <x v="1"/>
          </reference>
        </references>
      </pivotArea>
    </format>
    <format dxfId="22">
      <pivotArea dataOnly="0" labelOnly="1" outline="0" fieldPosition="0">
        <references count="1">
          <reference field="4294967294" count="1">
            <x v="1"/>
          </reference>
        </references>
      </pivotArea>
    </format>
    <format dxfId="21">
      <pivotArea dataOnly="0" labelOnly="1" outline="0" fieldPosition="0">
        <references count="1">
          <reference field="4294967294" count="1">
            <x v="1"/>
          </reference>
        </references>
      </pivotArea>
    </format>
    <format dxfId="20">
      <pivotArea dataOnly="0" labelOnly="1" outline="0" fieldPosition="0">
        <references count="1">
          <reference field="4294967294" count="1">
            <x v="1"/>
          </reference>
        </references>
      </pivotArea>
    </format>
    <format dxfId="19">
      <pivotArea type="all" dataOnly="0" outline="0" fieldPosition="0"/>
    </format>
    <format dxfId="18">
      <pivotArea outline="0" collapsedLevelsAreSubtotals="1" fieldPosition="0"/>
    </format>
    <format dxfId="17">
      <pivotArea field="2" type="button" dataOnly="0" labelOnly="1" outline="0" axis="axisRow" fieldPosition="0"/>
    </format>
    <format dxfId="16">
      <pivotArea dataOnly="0" labelOnly="1" outline="0" fieldPosition="0">
        <references count="1">
          <reference field="2" count="0"/>
        </references>
      </pivotArea>
    </format>
    <format dxfId="15">
      <pivotArea dataOnly="0" labelOnly="1" grandRow="1" outline="0" fieldPosition="0"/>
    </format>
    <format dxfId="14">
      <pivotArea dataOnly="0" labelOnly="1" outline="0" fieldPosition="0">
        <references count="1">
          <reference field="4294967294" count="1">
            <x v="1"/>
          </reference>
        </references>
      </pivotArea>
    </format>
    <format dxfId="13">
      <pivotArea type="all" dataOnly="0" outline="0" fieldPosition="0"/>
    </format>
    <format dxfId="12">
      <pivotArea outline="0" collapsedLevelsAreSubtotals="1" fieldPosition="0"/>
    </format>
    <format dxfId="11">
      <pivotArea field="2" type="button" dataOnly="0" labelOnly="1" outline="0" axis="axisRow" fieldPosition="0"/>
    </format>
    <format dxfId="10">
      <pivotArea dataOnly="0" labelOnly="1" outline="0" fieldPosition="0">
        <references count="1">
          <reference field="2" count="0"/>
        </references>
      </pivotArea>
    </format>
    <format dxfId="9">
      <pivotArea dataOnly="0" labelOnly="1" grandRow="1" outline="0" fieldPosition="0"/>
    </format>
    <format dxfId="8">
      <pivotArea dataOnly="0" labelOnly="1" outline="0" fieldPosition="0">
        <references count="1">
          <reference field="4294967294" count="1">
            <x v="1"/>
          </reference>
        </references>
      </pivotArea>
    </format>
    <format dxfId="7">
      <pivotArea field="2" type="button" dataOnly="0" labelOnly="1" outline="0" axis="axisRow" fieldPosition="0"/>
    </format>
    <format dxfId="6">
      <pivotArea dataOnly="0" labelOnly="1" outline="0" fieldPosition="0">
        <references count="1">
          <reference field="4294967294" count="1">
            <x v="1"/>
          </reference>
        </references>
      </pivotArea>
    </format>
    <format dxfId="5">
      <pivotArea grandRow="1" outline="0" collapsedLevelsAreSubtotals="1" fieldPosition="0"/>
    </format>
    <format dxfId="4">
      <pivotArea dataOnly="0" labelOnly="1" grandRow="1" outline="0" fieldPosition="0"/>
    </format>
    <format dxfId="3">
      <pivotArea outline="0" fieldPosition="0">
        <references count="1">
          <reference field="4294967294" count="1">
            <x v="0"/>
          </reference>
        </references>
      </pivotArea>
    </format>
    <format dxfId="2">
      <pivotArea dataOnly="0" labelOnly="1" outline="0" fieldPosition="0">
        <references count="1">
          <reference field="4294967294" count="1">
            <x v="0"/>
          </reference>
        </references>
      </pivotArea>
    </format>
    <format dxfId="1">
      <pivotArea grandRow="1" outline="0" collapsedLevelsAreSubtotals="1" fieldPosition="0"/>
    </format>
    <format dxfId="0">
      <pivotArea dataOnly="0" labelOnly="1" grandRow="1" outline="0" fieldPosition="0"/>
    </format>
  </formats>
  <conditionalFormats count="2">
    <conditionalFormat priority="2">
      <pivotAreas count="1">
        <pivotArea type="data" outline="0" collapsedLevelsAreSubtotals="1" fieldPosition="0">
          <references count="2">
            <reference field="4294967294" count="1" selected="0">
              <x v="0"/>
            </reference>
            <reference field="2" count="38" selected="0">
              <x v="0"/>
              <x v="1"/>
              <x v="2"/>
              <x v="3"/>
              <x v="4"/>
              <x v="5"/>
              <x v="6"/>
              <x v="7"/>
              <x v="8"/>
              <x v="9"/>
              <x v="10"/>
              <x v="11"/>
              <x v="12"/>
              <x v="13"/>
              <x v="14"/>
              <x v="15"/>
              <x v="16"/>
              <x v="17"/>
              <x v="18"/>
              <x v="19"/>
              <x v="20"/>
              <x v="27"/>
              <x v="28"/>
              <x v="29"/>
              <x v="30"/>
              <x v="31"/>
              <x v="32"/>
              <x v="33"/>
              <x v="34"/>
              <x v="35"/>
              <x v="39"/>
              <x v="42"/>
              <x v="43"/>
              <x v="44"/>
              <x v="45"/>
              <x v="46"/>
              <x v="47"/>
              <x v="48"/>
            </reference>
          </references>
        </pivotArea>
      </pivotAreas>
    </conditionalFormat>
    <conditionalFormat priority="1">
      <pivotAreas count="1">
        <pivotArea type="data" outline="0" collapsedLevelsAreSubtotals="1" fieldPosition="0">
          <references count="2">
            <reference field="4294967294" count="1" selected="0">
              <x v="1"/>
            </reference>
            <reference field="2" count="38" selected="0">
              <x v="0"/>
              <x v="1"/>
              <x v="2"/>
              <x v="3"/>
              <x v="4"/>
              <x v="5"/>
              <x v="6"/>
              <x v="7"/>
              <x v="8"/>
              <x v="9"/>
              <x v="10"/>
              <x v="11"/>
              <x v="12"/>
              <x v="13"/>
              <x v="14"/>
              <x v="15"/>
              <x v="16"/>
              <x v="17"/>
              <x v="18"/>
              <x v="19"/>
              <x v="20"/>
              <x v="27"/>
              <x v="28"/>
              <x v="29"/>
              <x v="30"/>
              <x v="31"/>
              <x v="32"/>
              <x v="33"/>
              <x v="34"/>
              <x v="35"/>
              <x v="39"/>
              <x v="42"/>
              <x v="43"/>
              <x v="44"/>
              <x v="45"/>
              <x v="46"/>
              <x v="47"/>
              <x v="48"/>
            </reference>
          </references>
        </pivotArea>
      </pivotAreas>
    </conditionalFormat>
  </conditionalFormats>
  <pivotTableStyleInfo name="PivotStyleLight16" showRowHeaders="1" showColHeaders="1" showRowStripes="0" showColStripes="0" showLastColumn="1"/>
  <filters count="1">
    <filter fld="2" type="valueGreaterThan" evalOrder="-1" id="8" iMeasureFld="0">
      <autoFilter ref="A1">
        <filterColumn colId="0">
          <customFilters>
            <customFilter operator="greaterThan" val="199"/>
          </customFilters>
        </filterColumn>
      </autoFilter>
    </filter>
  </filters>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9"/>
  <sheetViews>
    <sheetView zoomScale="130" zoomScaleNormal="130" workbookViewId="0">
      <selection activeCell="F23" sqref="F23"/>
    </sheetView>
  </sheetViews>
  <sheetFormatPr baseColWidth="10" defaultRowHeight="16" x14ac:dyDescent="0.2"/>
  <cols>
    <col min="1" max="1" width="34" customWidth="1"/>
    <col min="2" max="2" width="17.6640625" customWidth="1"/>
    <col min="3" max="3" width="21.5" customWidth="1"/>
    <col min="4" max="4" width="20.1640625" customWidth="1"/>
    <col min="5" max="5" width="21.1640625" customWidth="1"/>
    <col min="6" max="6" width="22.6640625" customWidth="1"/>
    <col min="8" max="8" width="16.1640625" customWidth="1"/>
  </cols>
  <sheetData>
    <row r="1" spans="1:8" ht="25" thickBot="1" x14ac:dyDescent="0.35">
      <c r="A1" s="148" t="s">
        <v>78</v>
      </c>
      <c r="B1" s="148"/>
      <c r="C1" s="148"/>
      <c r="D1" s="148"/>
      <c r="E1" s="148"/>
      <c r="F1" s="148"/>
    </row>
    <row r="2" spans="1:8" ht="20" x14ac:dyDescent="0.2">
      <c r="A2" s="6" t="s">
        <v>55</v>
      </c>
      <c r="B2" s="7">
        <v>2021</v>
      </c>
      <c r="C2" s="7">
        <v>2022</v>
      </c>
      <c r="D2" s="7">
        <v>2023</v>
      </c>
      <c r="E2" s="7">
        <v>2024</v>
      </c>
      <c r="F2" s="8" t="s">
        <v>56</v>
      </c>
    </row>
    <row r="3" spans="1:8" ht="21" thickBot="1" x14ac:dyDescent="0.25">
      <c r="A3" s="9" t="s">
        <v>57</v>
      </c>
      <c r="B3" s="10">
        <f>SUM(B4:B23)</f>
        <v>840165.00000000012</v>
      </c>
      <c r="C3" s="10">
        <f>SUM(C4:C23)</f>
        <v>865968</v>
      </c>
      <c r="D3" s="10">
        <f>SUM(D4:D23)</f>
        <v>893333</v>
      </c>
      <c r="E3" s="10">
        <f>SUM(E4:E23)</f>
        <v>921723</v>
      </c>
      <c r="F3" s="11">
        <f>SUM(B3:E3)</f>
        <v>3521189</v>
      </c>
    </row>
    <row r="4" spans="1:8" s="39" customFormat="1" x14ac:dyDescent="0.2">
      <c r="A4" s="36" t="s">
        <v>58</v>
      </c>
      <c r="B4" s="37">
        <v>37112.030120171468</v>
      </c>
      <c r="C4" s="37">
        <v>38251.808274689669</v>
      </c>
      <c r="D4" s="37">
        <v>39460.583579824364</v>
      </c>
      <c r="E4" s="37">
        <v>40714.635504281665</v>
      </c>
      <c r="F4" s="48">
        <f>SUM(B4:E4)</f>
        <v>155539.05747896718</v>
      </c>
      <c r="G4" s="38">
        <v>1</v>
      </c>
    </row>
    <row r="5" spans="1:8" s="39" customFormat="1" x14ac:dyDescent="0.2">
      <c r="A5" s="40" t="s">
        <v>59</v>
      </c>
      <c r="B5" s="41">
        <v>17262.208041140446</v>
      </c>
      <c r="C5" s="41">
        <v>17792.361944344633</v>
      </c>
      <c r="D5" s="41">
        <v>18354.609030388219</v>
      </c>
      <c r="E5" s="41">
        <v>18937.915983531919</v>
      </c>
      <c r="F5" s="48">
        <f t="shared" ref="F5:F23" si="0">SUM(B5:E5)</f>
        <v>72347.094999405221</v>
      </c>
      <c r="G5" s="39">
        <v>2</v>
      </c>
      <c r="H5" s="96"/>
    </row>
    <row r="6" spans="1:8" s="39" customFormat="1" x14ac:dyDescent="0.2">
      <c r="A6" s="40" t="s">
        <v>60</v>
      </c>
      <c r="B6" s="41">
        <v>25644.38513444427</v>
      </c>
      <c r="C6" s="41">
        <v>26431.97098915622</v>
      </c>
      <c r="D6" s="41">
        <v>27267.233823485272</v>
      </c>
      <c r="E6" s="41">
        <v>28133.7827679984</v>
      </c>
      <c r="F6" s="48">
        <f t="shared" si="0"/>
        <v>107477.37271508417</v>
      </c>
      <c r="G6" s="38">
        <v>3</v>
      </c>
    </row>
    <row r="7" spans="1:8" s="39" customFormat="1" x14ac:dyDescent="0.2">
      <c r="A7" s="40" t="s">
        <v>61</v>
      </c>
      <c r="B7" s="41">
        <v>61423.313640010638</v>
      </c>
      <c r="C7" s="41">
        <v>63309.735666461631</v>
      </c>
      <c r="D7" s="41">
        <v>65310.353375791216</v>
      </c>
      <c r="E7" s="41">
        <v>67385.907432720385</v>
      </c>
      <c r="F7" s="48">
        <f t="shared" si="0"/>
        <v>257429.31011498388</v>
      </c>
      <c r="G7" s="39">
        <v>4</v>
      </c>
    </row>
    <row r="8" spans="1:8" s="39" customFormat="1" x14ac:dyDescent="0.2">
      <c r="A8" s="40" t="s">
        <v>62</v>
      </c>
      <c r="B8" s="41">
        <v>59232.753337329734</v>
      </c>
      <c r="C8" s="41">
        <v>61051.899260289058</v>
      </c>
      <c r="D8" s="41">
        <v>62981.168267062763</v>
      </c>
      <c r="E8" s="41">
        <v>64982.701141256272</v>
      </c>
      <c r="F8" s="48">
        <f t="shared" si="0"/>
        <v>248248.52200593782</v>
      </c>
      <c r="G8" s="38">
        <v>5</v>
      </c>
    </row>
    <row r="9" spans="1:8" s="39" customFormat="1" x14ac:dyDescent="0.2">
      <c r="A9" s="40" t="s">
        <v>63</v>
      </c>
      <c r="B9" s="41">
        <v>26078.301271475048</v>
      </c>
      <c r="C9" s="41">
        <v>26879.213482419171</v>
      </c>
      <c r="D9" s="41">
        <v>27728.609391905899</v>
      </c>
      <c r="E9" s="41">
        <v>28609.820788592471</v>
      </c>
      <c r="F9" s="48">
        <f t="shared" si="0"/>
        <v>109295.94493439258</v>
      </c>
      <c r="G9" s="39">
        <v>6</v>
      </c>
    </row>
    <row r="10" spans="1:8" s="39" customFormat="1" x14ac:dyDescent="0.2">
      <c r="A10" s="42" t="s">
        <v>54</v>
      </c>
      <c r="B10" s="43">
        <v>74517.690245278427</v>
      </c>
      <c r="C10" s="43">
        <v>76806.264467483503</v>
      </c>
      <c r="D10" s="43">
        <v>79233.378895675633</v>
      </c>
      <c r="E10" s="43">
        <v>81751.404790664659</v>
      </c>
      <c r="F10" s="48">
        <f t="shared" si="0"/>
        <v>312308.73839910224</v>
      </c>
      <c r="G10" s="38">
        <v>7</v>
      </c>
    </row>
    <row r="11" spans="1:8" x14ac:dyDescent="0.2">
      <c r="A11" s="12" t="s">
        <v>64</v>
      </c>
      <c r="B11" s="13">
        <v>89064.186359623898</v>
      </c>
      <c r="C11" s="13">
        <v>91799.510017045206</v>
      </c>
      <c r="D11" s="13">
        <v>94700.418124061223</v>
      </c>
      <c r="E11" s="13">
        <v>97709.984400625617</v>
      </c>
      <c r="F11" s="48">
        <f t="shared" si="0"/>
        <v>373274.09890135593</v>
      </c>
      <c r="G11" s="39">
        <v>8</v>
      </c>
    </row>
    <row r="12" spans="1:8" x14ac:dyDescent="0.2">
      <c r="A12" s="12" t="s">
        <v>65</v>
      </c>
      <c r="B12" s="13">
        <v>29176.897496718298</v>
      </c>
      <c r="C12" s="13">
        <v>30072.973251013969</v>
      </c>
      <c r="D12" s="13">
        <v>31023.293485727027</v>
      </c>
      <c r="E12" s="13">
        <v>32009.209490240224</v>
      </c>
      <c r="F12" s="48">
        <f t="shared" si="0"/>
        <v>122282.37372369951</v>
      </c>
      <c r="G12" s="38">
        <v>9</v>
      </c>
    </row>
    <row r="13" spans="1:8" x14ac:dyDescent="0.2">
      <c r="A13" s="12" t="s">
        <v>66</v>
      </c>
      <c r="B13" s="13">
        <v>54114.275042568581</v>
      </c>
      <c r="C13" s="13">
        <v>55776.223158621251</v>
      </c>
      <c r="D13" s="13">
        <v>57538.778295457341</v>
      </c>
      <c r="E13" s="13">
        <v>59367.352764113522</v>
      </c>
      <c r="F13" s="48">
        <f t="shared" si="0"/>
        <v>226796.62926076067</v>
      </c>
      <c r="G13" s="39">
        <v>10</v>
      </c>
    </row>
    <row r="14" spans="1:8" x14ac:dyDescent="0.2">
      <c r="A14" s="12" t="s">
        <v>67</v>
      </c>
      <c r="B14" s="13">
        <v>75004.954717339016</v>
      </c>
      <c r="C14" s="13">
        <v>77308.493720477083</v>
      </c>
      <c r="D14" s="13">
        <v>79751.478831544533</v>
      </c>
      <c r="E14" s="13">
        <v>82285.969871310837</v>
      </c>
      <c r="F14" s="48">
        <f t="shared" si="0"/>
        <v>314350.8971406715</v>
      </c>
      <c r="G14" s="38">
        <v>11</v>
      </c>
    </row>
    <row r="15" spans="1:8" x14ac:dyDescent="0.2">
      <c r="A15" s="12" t="s">
        <v>68</v>
      </c>
      <c r="B15" s="13">
        <v>22517.518508497869</v>
      </c>
      <c r="C15" s="13">
        <v>23209.072584274378</v>
      </c>
      <c r="D15" s="13">
        <v>23942.490298634111</v>
      </c>
      <c r="E15" s="13">
        <v>24703.379350732514</v>
      </c>
      <c r="F15" s="48">
        <f t="shared" si="0"/>
        <v>94372.460742138879</v>
      </c>
      <c r="G15" s="39">
        <v>12</v>
      </c>
    </row>
    <row r="16" spans="1:8" x14ac:dyDescent="0.2">
      <c r="A16" s="12" t="s">
        <v>69</v>
      </c>
      <c r="B16" s="13">
        <v>14638.801273999807</v>
      </c>
      <c r="C16" s="13">
        <v>15088.385569076388</v>
      </c>
      <c r="D16" s="13">
        <v>15565.18571769363</v>
      </c>
      <c r="E16" s="13">
        <v>16059.845181214314</v>
      </c>
      <c r="F16" s="48">
        <f t="shared" si="0"/>
        <v>61352.217741984146</v>
      </c>
      <c r="G16" s="38">
        <v>13</v>
      </c>
    </row>
    <row r="17" spans="1:7" x14ac:dyDescent="0.2">
      <c r="A17" s="12" t="s">
        <v>70</v>
      </c>
      <c r="B17" s="13">
        <v>17439.196652916602</v>
      </c>
      <c r="C17" s="13">
        <v>17974.786199297618</v>
      </c>
      <c r="D17" s="13">
        <v>18542.79797842084</v>
      </c>
      <c r="E17" s="13">
        <v>19132.085550476691</v>
      </c>
      <c r="F17" s="48">
        <f t="shared" si="0"/>
        <v>73088.866381111759</v>
      </c>
      <c r="G17" s="39">
        <v>14</v>
      </c>
    </row>
    <row r="18" spans="1:7" x14ac:dyDescent="0.2">
      <c r="A18" s="12" t="s">
        <v>71</v>
      </c>
      <c r="B18" s="13">
        <v>15534.018426841527</v>
      </c>
      <c r="C18" s="13">
        <v>16011.096473972497</v>
      </c>
      <c r="D18" s="13">
        <v>16517.054725328504</v>
      </c>
      <c r="E18" s="13">
        <v>17041.964455129233</v>
      </c>
      <c r="F18" s="48">
        <f t="shared" si="0"/>
        <v>65104.134081271754</v>
      </c>
      <c r="G18" s="38">
        <v>15</v>
      </c>
    </row>
    <row r="19" spans="1:7" x14ac:dyDescent="0.2">
      <c r="A19" s="12" t="s">
        <v>72</v>
      </c>
      <c r="B19" s="13">
        <v>27015.759149074271</v>
      </c>
      <c r="C19" s="13">
        <v>27845.462401796729</v>
      </c>
      <c r="D19" s="13">
        <v>28725.392235953612</v>
      </c>
      <c r="E19" s="13">
        <v>29638.281254470472</v>
      </c>
      <c r="F19" s="48">
        <f t="shared" si="0"/>
        <v>113224.89504129509</v>
      </c>
      <c r="G19" s="39">
        <v>16</v>
      </c>
    </row>
    <row r="20" spans="1:7" x14ac:dyDescent="0.2">
      <c r="A20" s="12" t="s">
        <v>73</v>
      </c>
      <c r="B20" s="13">
        <v>11127.247955600908</v>
      </c>
      <c r="C20" s="13">
        <v>11468.986041570175</v>
      </c>
      <c r="D20" s="13">
        <v>11831.411446466855</v>
      </c>
      <c r="E20" s="13">
        <v>12207.412076652008</v>
      </c>
      <c r="F20" s="48">
        <f t="shared" si="0"/>
        <v>46635.057520289942</v>
      </c>
      <c r="G20" s="38">
        <v>17</v>
      </c>
    </row>
    <row r="21" spans="1:7" x14ac:dyDescent="0.2">
      <c r="A21" s="12" t="s">
        <v>74</v>
      </c>
      <c r="B21" s="13">
        <v>53886.572884369481</v>
      </c>
      <c r="C21" s="13">
        <v>55541.527851709689</v>
      </c>
      <c r="D21" s="13">
        <v>57296.666505403635</v>
      </c>
      <c r="E21" s="13">
        <v>59117.546694637</v>
      </c>
      <c r="F21" s="48">
        <f t="shared" si="0"/>
        <v>225842.31393611978</v>
      </c>
      <c r="G21" s="39">
        <v>18</v>
      </c>
    </row>
    <row r="22" spans="1:7" x14ac:dyDescent="0.2">
      <c r="A22" s="12" t="s">
        <v>75</v>
      </c>
      <c r="B22" s="13">
        <v>97532.636242599721</v>
      </c>
      <c r="C22" s="13">
        <v>100528.04144630114</v>
      </c>
      <c r="D22" s="13">
        <v>103704.77529117535</v>
      </c>
      <c r="E22" s="13">
        <v>107000.49880135182</v>
      </c>
      <c r="F22" s="48">
        <f t="shared" si="0"/>
        <v>408765.95178142801</v>
      </c>
      <c r="G22" s="38">
        <v>19</v>
      </c>
    </row>
    <row r="23" spans="1:7" ht="17" thickBot="1" x14ac:dyDescent="0.25">
      <c r="A23" s="14" t="s">
        <v>76</v>
      </c>
      <c r="B23" s="15">
        <v>31842.253500000003</v>
      </c>
      <c r="C23" s="15">
        <v>32820.1872</v>
      </c>
      <c r="D23" s="15">
        <v>33857.320700000004</v>
      </c>
      <c r="E23" s="15">
        <v>34933.301700000004</v>
      </c>
      <c r="F23" s="48">
        <f t="shared" si="0"/>
        <v>133453.06310000003</v>
      </c>
      <c r="G23" s="39">
        <v>20</v>
      </c>
    </row>
    <row r="24" spans="1:7" ht="54" customHeight="1" thickBot="1" x14ac:dyDescent="0.25">
      <c r="A24" s="145" t="s">
        <v>122</v>
      </c>
      <c r="B24" s="146"/>
      <c r="C24" s="146"/>
      <c r="D24" s="146"/>
      <c r="E24" s="146"/>
      <c r="F24" s="147"/>
    </row>
    <row r="26" spans="1:7" x14ac:dyDescent="0.2">
      <c r="A26">
        <v>1</v>
      </c>
      <c r="B26">
        <v>2</v>
      </c>
      <c r="C26">
        <v>3</v>
      </c>
      <c r="D26">
        <v>4</v>
      </c>
      <c r="E26">
        <v>5</v>
      </c>
      <c r="F26">
        <v>6</v>
      </c>
    </row>
    <row r="33" spans="1:10" x14ac:dyDescent="0.2">
      <c r="A33" s="152"/>
      <c r="B33" s="152"/>
      <c r="C33" s="152"/>
      <c r="D33" s="152"/>
      <c r="E33" s="152"/>
      <c r="F33" s="152"/>
    </row>
    <row r="34" spans="1:10" ht="17" thickBot="1" x14ac:dyDescent="0.25"/>
    <row r="35" spans="1:10" ht="24" x14ac:dyDescent="0.3">
      <c r="A35" s="149" t="s">
        <v>98</v>
      </c>
      <c r="B35" s="150"/>
      <c r="C35" s="150"/>
      <c r="D35" s="150"/>
      <c r="E35" s="150"/>
      <c r="F35" s="151"/>
    </row>
    <row r="36" spans="1:10" ht="20" x14ac:dyDescent="0.2">
      <c r="A36" s="34" t="s">
        <v>55</v>
      </c>
      <c r="B36" s="33">
        <v>2021</v>
      </c>
      <c r="C36" s="33">
        <v>2022</v>
      </c>
      <c r="D36" s="33">
        <v>2023</v>
      </c>
      <c r="E36" s="33">
        <v>2024</v>
      </c>
      <c r="F36" s="35" t="s">
        <v>56</v>
      </c>
    </row>
    <row r="37" spans="1:10" ht="40" x14ac:dyDescent="0.2">
      <c r="A37" s="47" t="s">
        <v>57</v>
      </c>
      <c r="B37" s="51">
        <f>SUM(B38:B57)</f>
        <v>33765</v>
      </c>
      <c r="C37" s="51">
        <f>SUM(C38:C57)</f>
        <v>33325</v>
      </c>
      <c r="D37" s="51">
        <f>SUM(D38:D57)</f>
        <v>32922</v>
      </c>
      <c r="E37" s="51">
        <f>SUM(E38:E57)</f>
        <v>32552</v>
      </c>
      <c r="F37" s="52">
        <f>SUM(B37:E37)</f>
        <v>132564</v>
      </c>
    </row>
    <row r="38" spans="1:10" s="32" customFormat="1" x14ac:dyDescent="0.2">
      <c r="A38" s="36" t="s">
        <v>58</v>
      </c>
      <c r="B38" s="37">
        <v>1491.4780989538835</v>
      </c>
      <c r="C38" s="37">
        <v>1472.0422818788147</v>
      </c>
      <c r="D38" s="37">
        <v>1454.2408403305126</v>
      </c>
      <c r="E38" s="37">
        <v>1437.8970850628407</v>
      </c>
      <c r="F38" s="48">
        <f>SUM(B38:E38)</f>
        <v>5855.6583062260524</v>
      </c>
      <c r="H38" s="46"/>
      <c r="I38" s="136"/>
      <c r="J38" s="137"/>
    </row>
    <row r="39" spans="1:10" s="32" customFormat="1" x14ac:dyDescent="0.2">
      <c r="A39" s="40" t="s">
        <v>59</v>
      </c>
      <c r="B39" s="37">
        <v>693.74284159552838</v>
      </c>
      <c r="C39" s="37">
        <v>684.70250840133224</v>
      </c>
      <c r="D39" s="37">
        <v>676.42238504392094</v>
      </c>
      <c r="E39" s="37">
        <v>668.82028667607415</v>
      </c>
      <c r="F39" s="48">
        <f>SUM(B39:E39)</f>
        <v>2723.6880217168555</v>
      </c>
      <c r="H39" s="46"/>
      <c r="I39" s="136"/>
      <c r="J39" s="137"/>
    </row>
    <row r="40" spans="1:10" s="32" customFormat="1" x14ac:dyDescent="0.2">
      <c r="A40" s="40" t="s">
        <v>60</v>
      </c>
      <c r="B40" s="37">
        <v>1030.610254014998</v>
      </c>
      <c r="C40" s="37">
        <v>1017.1801189115891</v>
      </c>
      <c r="D40" s="37">
        <v>1004.8793360782397</v>
      </c>
      <c r="E40" s="37">
        <v>993.58581337764588</v>
      </c>
      <c r="F40" s="48">
        <f t="shared" ref="F40:F57" si="1">SUM(B40:E40)</f>
        <v>4046.2555223824729</v>
      </c>
      <c r="H40" s="46"/>
      <c r="I40" s="136"/>
      <c r="J40" s="137"/>
    </row>
    <row r="41" spans="1:10" s="32" customFormat="1" x14ac:dyDescent="0.2">
      <c r="A41" s="40" t="s">
        <v>61</v>
      </c>
      <c r="B41" s="37">
        <v>2468.5129528782554</v>
      </c>
      <c r="C41" s="37">
        <v>2436.3451548842841</v>
      </c>
      <c r="D41" s="37">
        <v>2406.8823762670791</v>
      </c>
      <c r="E41" s="37">
        <v>2379.8321824994214</v>
      </c>
      <c r="F41" s="48">
        <f t="shared" si="1"/>
        <v>9691.5726665290404</v>
      </c>
      <c r="H41" s="46"/>
      <c r="I41" s="136"/>
      <c r="J41" s="137"/>
    </row>
    <row r="42" spans="1:10" s="32" customFormat="1" x14ac:dyDescent="0.2">
      <c r="A42" s="40" t="s">
        <v>62</v>
      </c>
      <c r="B42" s="37">
        <v>2380.477544809577</v>
      </c>
      <c r="C42" s="37">
        <v>2349.456957819611</v>
      </c>
      <c r="D42" s="37">
        <v>2321.0449201901647</v>
      </c>
      <c r="E42" s="37">
        <v>2294.9594265849655</v>
      </c>
      <c r="F42" s="48">
        <f t="shared" si="1"/>
        <v>9345.9388494043196</v>
      </c>
      <c r="H42" s="46"/>
      <c r="I42" s="136"/>
      <c r="J42" s="137"/>
    </row>
    <row r="43" spans="1:10" s="32" customFormat="1" x14ac:dyDescent="0.2">
      <c r="A43" s="40" t="s">
        <v>63</v>
      </c>
      <c r="B43" s="37">
        <v>1048.0487076126178</v>
      </c>
      <c r="C43" s="37">
        <v>1034.3913277414624</v>
      </c>
      <c r="D43" s="37">
        <v>1021.8824093594729</v>
      </c>
      <c r="E43" s="37">
        <v>1010.3977944678196</v>
      </c>
      <c r="F43" s="48">
        <f t="shared" si="1"/>
        <v>4114.7202391813735</v>
      </c>
      <c r="H43" s="46"/>
      <c r="I43" s="136"/>
      <c r="J43" s="137"/>
    </row>
    <row r="44" spans="1:10" s="32" customFormat="1" x14ac:dyDescent="0.2">
      <c r="A44" s="42" t="s">
        <v>54</v>
      </c>
      <c r="B44" s="37">
        <v>2994.7567574605296</v>
      </c>
      <c r="C44" s="37">
        <v>2955.731347323328</v>
      </c>
      <c r="D44" s="37">
        <v>2919.9876194022086</v>
      </c>
      <c r="E44" s="37">
        <v>2887.1707972413797</v>
      </c>
      <c r="F44" s="48">
        <f t="shared" si="1"/>
        <v>11757.646521427447</v>
      </c>
      <c r="H44" s="46"/>
      <c r="I44" s="136"/>
      <c r="J44" s="137"/>
    </row>
    <row r="45" spans="1:10" s="32" customFormat="1" x14ac:dyDescent="0.2">
      <c r="A45" s="40" t="s">
        <v>64</v>
      </c>
      <c r="B45" s="37">
        <v>3579.3591168790667</v>
      </c>
      <c r="C45" s="37">
        <v>3532.7156099509812</v>
      </c>
      <c r="D45" s="37">
        <v>3489.9943979236677</v>
      </c>
      <c r="E45" s="37">
        <v>3450.7714489159598</v>
      </c>
      <c r="F45" s="48">
        <f t="shared" si="1"/>
        <v>14052.840573669673</v>
      </c>
      <c r="H45" s="46"/>
      <c r="I45" s="136"/>
      <c r="J45" s="137"/>
    </row>
    <row r="46" spans="1:10" s="32" customFormat="1" x14ac:dyDescent="0.2">
      <c r="A46" s="40" t="s">
        <v>65</v>
      </c>
      <c r="B46" s="37">
        <v>1172.5767485871149</v>
      </c>
      <c r="C46" s="37">
        <v>1157.2966132582735</v>
      </c>
      <c r="D46" s="37">
        <v>1143.3013984002664</v>
      </c>
      <c r="E46" s="37">
        <v>1130.4521936919225</v>
      </c>
      <c r="F46" s="48">
        <f t="shared" si="1"/>
        <v>4603.6269539375771</v>
      </c>
      <c r="H46" s="46"/>
      <c r="I46" s="136"/>
      <c r="J46" s="137"/>
    </row>
    <row r="47" spans="1:10" s="32" customFormat="1" x14ac:dyDescent="0.2">
      <c r="A47" s="40" t="s">
        <v>66</v>
      </c>
      <c r="B47" s="37">
        <v>2174.7734038103563</v>
      </c>
      <c r="C47" s="37">
        <v>2146.4333979558751</v>
      </c>
      <c r="D47" s="37">
        <v>2120.4765289573388</v>
      </c>
      <c r="E47" s="37">
        <v>2096.645160397889</v>
      </c>
      <c r="F47" s="48">
        <f t="shared" si="1"/>
        <v>8538.3284911214596</v>
      </c>
      <c r="H47" s="46"/>
      <c r="I47" s="136"/>
      <c r="J47" s="137"/>
    </row>
    <row r="48" spans="1:10" x14ac:dyDescent="0.2">
      <c r="A48" s="44" t="s">
        <v>67</v>
      </c>
      <c r="B48" s="37">
        <v>3014.3392024554128</v>
      </c>
      <c r="C48" s="37">
        <v>2975.0586086724898</v>
      </c>
      <c r="D48" s="37">
        <v>2939.0811557304041</v>
      </c>
      <c r="E48" s="37">
        <v>2906.0497473220375</v>
      </c>
      <c r="F48" s="48">
        <f t="shared" si="1"/>
        <v>11834.528714180346</v>
      </c>
      <c r="H48" s="46"/>
      <c r="I48" s="136"/>
      <c r="J48" s="137"/>
    </row>
    <row r="49" spans="1:10" x14ac:dyDescent="0.2">
      <c r="A49" s="44" t="s">
        <v>68</v>
      </c>
      <c r="B49" s="37">
        <v>904.94606706948116</v>
      </c>
      <c r="C49" s="37">
        <v>893.15349282068587</v>
      </c>
      <c r="D49" s="37">
        <v>882.35256686099387</v>
      </c>
      <c r="E49" s="37">
        <v>872.43608396996149</v>
      </c>
      <c r="F49" s="48">
        <f t="shared" si="1"/>
        <v>3552.8882107211225</v>
      </c>
      <c r="H49" s="46"/>
      <c r="I49" s="136"/>
      <c r="J49" s="137"/>
    </row>
    <row r="50" spans="1:10" x14ac:dyDescent="0.2">
      <c r="A50" s="44" t="s">
        <v>69</v>
      </c>
      <c r="B50" s="37">
        <v>588.3119685021436</v>
      </c>
      <c r="C50" s="37">
        <v>580.64553088505647</v>
      </c>
      <c r="D50" s="37">
        <v>573.62377097667911</v>
      </c>
      <c r="E50" s="37">
        <v>567.17699388958329</v>
      </c>
      <c r="F50" s="48">
        <f t="shared" si="1"/>
        <v>2309.7582642534626</v>
      </c>
      <c r="H50" s="46"/>
      <c r="I50" s="136"/>
      <c r="J50" s="137"/>
    </row>
    <row r="51" spans="1:10" x14ac:dyDescent="0.2">
      <c r="A51" s="44" t="s">
        <v>70</v>
      </c>
      <c r="B51" s="37">
        <v>700.85575450742306</v>
      </c>
      <c r="C51" s="37">
        <v>691.72273119975932</v>
      </c>
      <c r="D51" s="37">
        <v>683.35771212478528</v>
      </c>
      <c r="E51" s="37">
        <v>675.67766979788644</v>
      </c>
      <c r="F51" s="48">
        <f t="shared" si="1"/>
        <v>2751.6138676298542</v>
      </c>
      <c r="H51" s="46"/>
      <c r="I51" s="136"/>
      <c r="J51" s="137"/>
    </row>
    <row r="52" spans="1:10" x14ac:dyDescent="0.2">
      <c r="A52" s="44" t="s">
        <v>71</v>
      </c>
      <c r="B52" s="37">
        <v>624.28943384014349</v>
      </c>
      <c r="C52" s="37">
        <v>616.15416504435893</v>
      </c>
      <c r="D52" s="37">
        <v>608.70299839731103</v>
      </c>
      <c r="E52" s="37">
        <v>601.86197690994663</v>
      </c>
      <c r="F52" s="48">
        <f t="shared" si="1"/>
        <v>2451.0085741917601</v>
      </c>
      <c r="H52" s="46"/>
      <c r="I52" s="136"/>
      <c r="J52" s="137"/>
    </row>
    <row r="53" spans="1:10" x14ac:dyDescent="0.2">
      <c r="A53" s="44" t="s">
        <v>72</v>
      </c>
      <c r="B53" s="37">
        <v>1085.7237657704056</v>
      </c>
      <c r="C53" s="37">
        <v>1071.5754329719759</v>
      </c>
      <c r="D53" s="37">
        <v>1058.6168463406868</v>
      </c>
      <c r="E53" s="37">
        <v>1046.7193846692801</v>
      </c>
      <c r="F53" s="48">
        <f t="shared" si="1"/>
        <v>4262.6354297523485</v>
      </c>
      <c r="H53" s="46"/>
      <c r="I53" s="136"/>
      <c r="J53" s="137"/>
    </row>
    <row r="54" spans="1:10" x14ac:dyDescent="0.2">
      <c r="A54" s="44" t="s">
        <v>73</v>
      </c>
      <c r="B54" s="37">
        <v>447.18778718568933</v>
      </c>
      <c r="C54" s="37">
        <v>441.36037340331984</v>
      </c>
      <c r="D54" s="37">
        <v>436.02299214355878</v>
      </c>
      <c r="E54" s="37">
        <v>431.12266691747539</v>
      </c>
      <c r="F54" s="48">
        <f t="shared" si="1"/>
        <v>1755.6938196500432</v>
      </c>
      <c r="H54" s="46"/>
      <c r="I54" s="136"/>
      <c r="J54" s="137"/>
    </row>
    <row r="55" spans="1:10" x14ac:dyDescent="0.2">
      <c r="A55" s="44" t="s">
        <v>74</v>
      </c>
      <c r="B55" s="37">
        <v>2165.6223877937496</v>
      </c>
      <c r="C55" s="37">
        <v>2137.4016310743878</v>
      </c>
      <c r="D55" s="37">
        <v>2111.5539834427905</v>
      </c>
      <c r="E55" s="37">
        <v>2087.8228925651456</v>
      </c>
      <c r="F55" s="48">
        <f t="shared" si="1"/>
        <v>8502.4008948760729</v>
      </c>
      <c r="H55" s="46"/>
      <c r="I55" s="136"/>
      <c r="J55" s="137"/>
    </row>
    <row r="56" spans="1:10" x14ac:dyDescent="0.2">
      <c r="A56" s="44" t="s">
        <v>75</v>
      </c>
      <c r="B56" s="37">
        <v>3919.6937062736242</v>
      </c>
      <c r="C56" s="37">
        <v>3868.6152158024152</v>
      </c>
      <c r="D56" s="37">
        <v>3821.8319620299208</v>
      </c>
      <c r="E56" s="37">
        <v>3778.8795950427666</v>
      </c>
      <c r="F56" s="48">
        <f t="shared" si="1"/>
        <v>15389.020479148727</v>
      </c>
      <c r="H56" s="46"/>
      <c r="I56" s="136"/>
      <c r="J56" s="137"/>
    </row>
    <row r="57" spans="1:10" ht="17" thickBot="1" x14ac:dyDescent="0.25">
      <c r="A57" s="45" t="s">
        <v>76</v>
      </c>
      <c r="B57" s="49">
        <v>1279.6935000000001</v>
      </c>
      <c r="C57" s="49">
        <v>1263.0175000000002</v>
      </c>
      <c r="D57" s="49">
        <v>1247.7438000000002</v>
      </c>
      <c r="E57" s="49">
        <v>1233.7208000000001</v>
      </c>
      <c r="F57" s="50">
        <f t="shared" si="1"/>
        <v>5024.1756000000005</v>
      </c>
      <c r="H57" s="46"/>
      <c r="I57" s="136"/>
      <c r="J57" s="137"/>
    </row>
    <row r="58" spans="1:10" ht="24" customHeight="1" x14ac:dyDescent="0.2">
      <c r="A58" s="153" t="s">
        <v>123</v>
      </c>
      <c r="B58" s="154"/>
      <c r="C58" s="154"/>
      <c r="D58" s="154"/>
      <c r="E58" s="154"/>
      <c r="F58" s="155"/>
    </row>
    <row r="59" spans="1:10" ht="17" thickBot="1" x14ac:dyDescent="0.25">
      <c r="A59" s="156"/>
      <c r="B59" s="157"/>
      <c r="C59" s="157"/>
      <c r="D59" s="157"/>
      <c r="E59" s="157"/>
      <c r="F59" s="158"/>
    </row>
  </sheetData>
  <sheetProtection algorithmName="SHA-512" hashValue="GczB6LONJgVAkSdbjUD6TluEnLDaYiiV6+O7cjQAeJlkqeGHxptWDzj2+DtONY4k0vXLYopzYLLvyh8lWrMsnw==" saltValue="aOJTsUJnnUigW9rShc/TfQ==" spinCount="100000" sheet="1" sort="0" autoFilter="0" pivotTables="0"/>
  <autoFilter ref="A3:F3" xr:uid="{00000000-0009-0000-0000-000000000000}"/>
  <mergeCells count="5">
    <mergeCell ref="A24:F24"/>
    <mergeCell ref="A1:F1"/>
    <mergeCell ref="A35:F35"/>
    <mergeCell ref="A33:F33"/>
    <mergeCell ref="A58:F59"/>
  </mergeCells>
  <pageMargins left="0.7" right="0.7" top="0.75" bottom="0.75" header="0.3" footer="0.3"/>
  <pageSetup scale="5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X21"/>
  <sheetViews>
    <sheetView workbookViewId="0">
      <pane xSplit="3" ySplit="2" topLeftCell="D3" activePane="bottomRight" state="frozen"/>
      <selection pane="topRight" activeCell="D1" sqref="D1"/>
      <selection pane="bottomLeft" activeCell="A3" sqref="A3"/>
      <selection pane="bottomRight" activeCell="H19" sqref="H19"/>
    </sheetView>
  </sheetViews>
  <sheetFormatPr baseColWidth="10" defaultColWidth="11" defaultRowHeight="13" x14ac:dyDescent="0.15"/>
  <cols>
    <col min="1" max="1" width="13.1640625" style="1" bestFit="1" customWidth="1"/>
    <col min="2" max="2" width="17.83203125" style="1" bestFit="1" customWidth="1"/>
    <col min="3" max="3" width="35.83203125" style="1" customWidth="1"/>
    <col min="4" max="23" width="13.6640625" style="1" customWidth="1"/>
    <col min="24" max="25" width="11" style="1"/>
    <col min="26" max="26" width="15" style="1" customWidth="1"/>
    <col min="27" max="27" width="15.1640625" style="1" customWidth="1"/>
    <col min="28" max="28" width="23" style="1" customWidth="1"/>
    <col min="29" max="48" width="13.6640625" style="1" customWidth="1"/>
    <col min="49" max="16384" width="11" style="1"/>
  </cols>
  <sheetData>
    <row r="1" spans="1:50" ht="21.75" customHeight="1" x14ac:dyDescent="0.15">
      <c r="A1" s="159"/>
      <c r="B1" s="159"/>
      <c r="C1" s="159"/>
      <c r="D1" s="160" t="s">
        <v>96</v>
      </c>
      <c r="E1" s="160"/>
      <c r="F1" s="160"/>
      <c r="G1" s="160"/>
      <c r="H1" s="160"/>
      <c r="I1" s="160"/>
      <c r="J1" s="160"/>
      <c r="K1" s="160"/>
      <c r="L1" s="160"/>
      <c r="M1" s="160"/>
      <c r="N1" s="160"/>
      <c r="O1" s="160"/>
      <c r="P1" s="160"/>
      <c r="Q1" s="160"/>
      <c r="R1" s="160"/>
      <c r="S1" s="160"/>
      <c r="T1" s="160"/>
      <c r="U1" s="160"/>
      <c r="V1" s="160"/>
      <c r="W1" s="160"/>
      <c r="Z1" s="161"/>
      <c r="AA1" s="161"/>
      <c r="AB1" s="161"/>
      <c r="AC1" s="162" t="s">
        <v>96</v>
      </c>
      <c r="AD1" s="162"/>
      <c r="AE1" s="162"/>
      <c r="AF1" s="162"/>
      <c r="AG1" s="162"/>
      <c r="AH1" s="162"/>
      <c r="AI1" s="162"/>
      <c r="AJ1" s="162"/>
      <c r="AK1" s="162"/>
      <c r="AL1" s="162"/>
      <c r="AM1" s="162"/>
      <c r="AN1" s="162"/>
      <c r="AO1" s="162"/>
      <c r="AP1" s="162"/>
      <c r="AQ1" s="162"/>
      <c r="AR1" s="162"/>
      <c r="AS1" s="162"/>
      <c r="AT1" s="162"/>
      <c r="AU1" s="162"/>
      <c r="AV1" s="162"/>
      <c r="AW1" s="61"/>
    </row>
    <row r="2" spans="1:50" ht="36.75" customHeight="1" x14ac:dyDescent="0.15">
      <c r="A2" s="73" t="s">
        <v>2</v>
      </c>
      <c r="B2" s="73" t="s">
        <v>3</v>
      </c>
      <c r="C2" s="73" t="s">
        <v>4</v>
      </c>
      <c r="D2" s="74" t="s">
        <v>58</v>
      </c>
      <c r="E2" s="74" t="s">
        <v>59</v>
      </c>
      <c r="F2" s="74" t="s">
        <v>60</v>
      </c>
      <c r="G2" s="74" t="s">
        <v>61</v>
      </c>
      <c r="H2" s="74" t="s">
        <v>62</v>
      </c>
      <c r="I2" s="74" t="s">
        <v>63</v>
      </c>
      <c r="J2" s="74" t="s">
        <v>54</v>
      </c>
      <c r="K2" s="74" t="s">
        <v>64</v>
      </c>
      <c r="L2" s="74" t="s">
        <v>65</v>
      </c>
      <c r="M2" s="74" t="s">
        <v>66</v>
      </c>
      <c r="N2" s="74" t="s">
        <v>67</v>
      </c>
      <c r="O2" s="74" t="s">
        <v>68</v>
      </c>
      <c r="P2" s="74" t="s">
        <v>69</v>
      </c>
      <c r="Q2" s="74" t="s">
        <v>70</v>
      </c>
      <c r="R2" s="74" t="s">
        <v>71</v>
      </c>
      <c r="S2" s="74" t="s">
        <v>72</v>
      </c>
      <c r="T2" s="74" t="s">
        <v>73</v>
      </c>
      <c r="U2" s="74" t="s">
        <v>74</v>
      </c>
      <c r="V2" s="74" t="s">
        <v>75</v>
      </c>
      <c r="W2" s="74" t="s">
        <v>76</v>
      </c>
      <c r="Z2" s="75" t="s">
        <v>2</v>
      </c>
      <c r="AA2" s="75" t="s">
        <v>3</v>
      </c>
      <c r="AB2" s="75" t="s">
        <v>4</v>
      </c>
      <c r="AC2" s="76" t="s">
        <v>58</v>
      </c>
      <c r="AD2" s="76" t="s">
        <v>59</v>
      </c>
      <c r="AE2" s="76" t="s">
        <v>60</v>
      </c>
      <c r="AF2" s="76" t="s">
        <v>61</v>
      </c>
      <c r="AG2" s="76" t="s">
        <v>62</v>
      </c>
      <c r="AH2" s="76" t="s">
        <v>63</v>
      </c>
      <c r="AI2" s="76" t="s">
        <v>54</v>
      </c>
      <c r="AJ2" s="76" t="s">
        <v>64</v>
      </c>
      <c r="AK2" s="76" t="s">
        <v>65</v>
      </c>
      <c r="AL2" s="76" t="s">
        <v>66</v>
      </c>
      <c r="AM2" s="76" t="s">
        <v>67</v>
      </c>
      <c r="AN2" s="76" t="s">
        <v>68</v>
      </c>
      <c r="AO2" s="76" t="s">
        <v>69</v>
      </c>
      <c r="AP2" s="76" t="s">
        <v>70</v>
      </c>
      <c r="AQ2" s="76" t="s">
        <v>71</v>
      </c>
      <c r="AR2" s="76" t="s">
        <v>72</v>
      </c>
      <c r="AS2" s="76" t="s">
        <v>73</v>
      </c>
      <c r="AT2" s="76" t="s">
        <v>74</v>
      </c>
      <c r="AU2" s="76" t="s">
        <v>75</v>
      </c>
      <c r="AV2" s="76" t="s">
        <v>76</v>
      </c>
      <c r="AW2" s="76" t="s">
        <v>114</v>
      </c>
    </row>
    <row r="3" spans="1:50" ht="33.75" customHeight="1" x14ac:dyDescent="0.15">
      <c r="A3" s="31" t="s">
        <v>5</v>
      </c>
      <c r="B3" s="4" t="s">
        <v>0</v>
      </c>
      <c r="C3" s="18" t="s">
        <v>40</v>
      </c>
      <c r="D3" s="5">
        <v>351544446</v>
      </c>
      <c r="E3" s="5">
        <v>200000000</v>
      </c>
      <c r="F3" s="5">
        <v>247781554</v>
      </c>
      <c r="G3" s="5">
        <v>1119995680</v>
      </c>
      <c r="H3" s="5">
        <v>640128738</v>
      </c>
      <c r="I3" s="5">
        <v>688456745</v>
      </c>
      <c r="J3" s="5">
        <v>601870152</v>
      </c>
      <c r="K3" s="5">
        <v>1156231713</v>
      </c>
      <c r="L3" s="5">
        <v>233470910</v>
      </c>
      <c r="M3" s="5">
        <v>200000000</v>
      </c>
      <c r="N3" s="66">
        <v>0</v>
      </c>
      <c r="O3" s="66">
        <v>0</v>
      </c>
      <c r="P3" s="66">
        <v>0</v>
      </c>
      <c r="Q3" s="66">
        <v>0</v>
      </c>
      <c r="R3" s="66">
        <v>0</v>
      </c>
      <c r="S3" s="5">
        <v>412406978</v>
      </c>
      <c r="T3" s="66">
        <v>0</v>
      </c>
      <c r="U3" s="5">
        <v>897048558</v>
      </c>
      <c r="V3" s="5">
        <v>404135994</v>
      </c>
      <c r="W3" s="66">
        <v>0</v>
      </c>
      <c r="Z3" s="31" t="s">
        <v>5</v>
      </c>
      <c r="AA3" s="4" t="s">
        <v>0</v>
      </c>
      <c r="AB3" s="18" t="s">
        <v>40</v>
      </c>
      <c r="AC3" s="56">
        <f t="shared" ref="AC3:AV3" si="0">D3/1000000</f>
        <v>351.54444599999999</v>
      </c>
      <c r="AD3" s="62">
        <f t="shared" si="0"/>
        <v>200</v>
      </c>
      <c r="AE3" s="56">
        <f t="shared" si="0"/>
        <v>247.781554</v>
      </c>
      <c r="AF3" s="56">
        <f t="shared" si="0"/>
        <v>1119.99568</v>
      </c>
      <c r="AG3" s="56">
        <f t="shared" si="0"/>
        <v>640.128738</v>
      </c>
      <c r="AH3" s="56">
        <f t="shared" si="0"/>
        <v>688.45674499999996</v>
      </c>
      <c r="AI3" s="56">
        <f t="shared" si="0"/>
        <v>601.87015199999996</v>
      </c>
      <c r="AJ3" s="56">
        <f t="shared" si="0"/>
        <v>1156.2317129999999</v>
      </c>
      <c r="AK3" s="56">
        <f t="shared" si="0"/>
        <v>233.47091</v>
      </c>
      <c r="AL3" s="62">
        <f t="shared" si="0"/>
        <v>200</v>
      </c>
      <c r="AM3" s="56">
        <f t="shared" si="0"/>
        <v>0</v>
      </c>
      <c r="AN3" s="56">
        <f t="shared" si="0"/>
        <v>0</v>
      </c>
      <c r="AO3" s="56">
        <f t="shared" si="0"/>
        <v>0</v>
      </c>
      <c r="AP3" s="56">
        <f t="shared" si="0"/>
        <v>0</v>
      </c>
      <c r="AQ3" s="56">
        <f t="shared" si="0"/>
        <v>0</v>
      </c>
      <c r="AR3" s="62">
        <f t="shared" si="0"/>
        <v>412.40697799999998</v>
      </c>
      <c r="AS3" s="56">
        <f t="shared" si="0"/>
        <v>0</v>
      </c>
      <c r="AT3" s="56">
        <f t="shared" si="0"/>
        <v>897.04855799999996</v>
      </c>
      <c r="AU3" s="56">
        <f t="shared" si="0"/>
        <v>404.13599399999998</v>
      </c>
      <c r="AV3" s="56">
        <f t="shared" si="0"/>
        <v>0</v>
      </c>
      <c r="AW3" s="60">
        <f>INDEX($AC$3:$AV$21,1,'Cálculos PP'!$C$1)</f>
        <v>0</v>
      </c>
      <c r="AX3" s="1">
        <v>1</v>
      </c>
    </row>
    <row r="4" spans="1:50" ht="33.75" customHeight="1" x14ac:dyDescent="0.15">
      <c r="A4" s="31" t="s">
        <v>5</v>
      </c>
      <c r="B4" s="4" t="s">
        <v>0</v>
      </c>
      <c r="C4" s="18" t="s">
        <v>26</v>
      </c>
      <c r="D4" s="5">
        <v>772058386.58000004</v>
      </c>
      <c r="E4" s="5">
        <v>560324504.26999998</v>
      </c>
      <c r="F4" s="5">
        <v>965453651.23999989</v>
      </c>
      <c r="G4" s="5">
        <v>4165053403.1799994</v>
      </c>
      <c r="H4" s="5">
        <v>3401099968.0699997</v>
      </c>
      <c r="I4" s="5">
        <v>3568637455.4399996</v>
      </c>
      <c r="J4" s="5">
        <v>1961122624.8099997</v>
      </c>
      <c r="K4" s="5">
        <v>6693654496.6199999</v>
      </c>
      <c r="L4" s="5">
        <v>2095730283.3099999</v>
      </c>
      <c r="M4" s="5">
        <v>4017613956.9299998</v>
      </c>
      <c r="N4" s="5">
        <v>3670260676.5499997</v>
      </c>
      <c r="O4" s="5">
        <v>1696752462.5499997</v>
      </c>
      <c r="P4" s="5">
        <v>381508277.43999994</v>
      </c>
      <c r="Q4" s="5">
        <v>1414620373.0499997</v>
      </c>
      <c r="R4" s="5">
        <v>750601613.44999993</v>
      </c>
      <c r="S4" s="5">
        <v>2432965258.4899998</v>
      </c>
      <c r="T4" s="5">
        <v>606517074.08999991</v>
      </c>
      <c r="U4" s="5">
        <v>3498853368.3299999</v>
      </c>
      <c r="V4" s="5">
        <v>7981252128.7299995</v>
      </c>
      <c r="W4" s="5">
        <v>200000000</v>
      </c>
      <c r="Z4" s="31" t="s">
        <v>5</v>
      </c>
      <c r="AA4" s="4" t="s">
        <v>0</v>
      </c>
      <c r="AB4" s="18" t="s">
        <v>26</v>
      </c>
      <c r="AC4" s="56">
        <f t="shared" ref="AC4:AC21" si="1">D4/1000000</f>
        <v>772.05838658000005</v>
      </c>
      <c r="AD4" s="62">
        <f t="shared" ref="AD4:AD21" si="2">E4/1000000</f>
        <v>560.32450427000003</v>
      </c>
      <c r="AE4" s="56">
        <f t="shared" ref="AE4:AE21" si="3">F4/1000000</f>
        <v>965.45365123999989</v>
      </c>
      <c r="AF4" s="56">
        <f t="shared" ref="AF4:AF21" si="4">G4/1000000</f>
        <v>4165.0534031799998</v>
      </c>
      <c r="AG4" s="56">
        <f t="shared" ref="AG4:AG21" si="5">H4/1000000</f>
        <v>3401.0999680699997</v>
      </c>
      <c r="AH4" s="56">
        <f t="shared" ref="AH4:AH21" si="6">I4/1000000</f>
        <v>3568.6374554399995</v>
      </c>
      <c r="AI4" s="56">
        <f t="shared" ref="AI4:AI21" si="7">J4/1000000</f>
        <v>1961.1226248099997</v>
      </c>
      <c r="AJ4" s="56">
        <f t="shared" ref="AJ4:AJ21" si="8">K4/1000000</f>
        <v>6693.6544966199999</v>
      </c>
      <c r="AK4" s="56">
        <f t="shared" ref="AK4:AK21" si="9">L4/1000000</f>
        <v>2095.7302833099998</v>
      </c>
      <c r="AL4" s="62">
        <f t="shared" ref="AL4:AL21" si="10">M4/1000000</f>
        <v>4017.6139569299999</v>
      </c>
      <c r="AM4" s="56">
        <f t="shared" ref="AM4:AM21" si="11">N4/1000000</f>
        <v>3670.2606765499995</v>
      </c>
      <c r="AN4" s="56">
        <f t="shared" ref="AN4:AN21" si="12">O4/1000000</f>
        <v>1696.7524625499998</v>
      </c>
      <c r="AO4" s="56">
        <f t="shared" ref="AO4:AO21" si="13">P4/1000000</f>
        <v>381.50827743999992</v>
      </c>
      <c r="AP4" s="56">
        <f t="shared" ref="AP4:AP21" si="14">Q4/1000000</f>
        <v>1414.6203730499997</v>
      </c>
      <c r="AQ4" s="56">
        <f t="shared" ref="AQ4:AQ21" si="15">R4/1000000</f>
        <v>750.60161344999995</v>
      </c>
      <c r="AR4" s="62">
        <f t="shared" ref="AR4:AR21" si="16">S4/1000000</f>
        <v>2432.96525849</v>
      </c>
      <c r="AS4" s="56">
        <f t="shared" ref="AS4:AS21" si="17">T4/1000000</f>
        <v>606.51707408999994</v>
      </c>
      <c r="AT4" s="56">
        <f t="shared" ref="AT4:AT21" si="18">U4/1000000</f>
        <v>3498.8533683299997</v>
      </c>
      <c r="AU4" s="56">
        <f t="shared" ref="AU4:AU21" si="19">V4/1000000</f>
        <v>7981.2521287299996</v>
      </c>
      <c r="AV4" s="56">
        <v>200</v>
      </c>
      <c r="AW4" s="60">
        <f>INDEX($AC$3:$AV$21,2,'Cálculos PP'!$C$1)</f>
        <v>200</v>
      </c>
      <c r="AX4" s="1">
        <v>2</v>
      </c>
    </row>
    <row r="5" spans="1:50" ht="33.75" customHeight="1" x14ac:dyDescent="0.15">
      <c r="A5" s="57" t="s">
        <v>5</v>
      </c>
      <c r="B5" s="58" t="s">
        <v>0</v>
      </c>
      <c r="C5" s="59" t="s">
        <v>108</v>
      </c>
      <c r="D5" s="65">
        <v>2944423620</v>
      </c>
      <c r="E5" s="65">
        <v>916042904</v>
      </c>
      <c r="F5" s="65">
        <v>1504927628</v>
      </c>
      <c r="G5" s="65">
        <v>6019710512</v>
      </c>
      <c r="H5" s="65">
        <v>7001185052</v>
      </c>
      <c r="I5" s="65">
        <v>1112337812</v>
      </c>
      <c r="J5" s="65">
        <v>5888847240</v>
      </c>
      <c r="K5" s="65">
        <v>9291292312</v>
      </c>
      <c r="L5" s="65">
        <v>3206150164</v>
      </c>
      <c r="M5" s="65">
        <v>6150573784</v>
      </c>
      <c r="N5" s="65">
        <v>6019710512</v>
      </c>
      <c r="O5" s="65">
        <v>981474540</v>
      </c>
      <c r="P5" s="65">
        <v>327158180</v>
      </c>
      <c r="Q5" s="65">
        <v>523453088</v>
      </c>
      <c r="R5" s="65">
        <v>981474540</v>
      </c>
      <c r="S5" s="65">
        <v>3140718528</v>
      </c>
      <c r="T5" s="65">
        <v>65431636</v>
      </c>
      <c r="U5" s="65">
        <v>5234530880</v>
      </c>
      <c r="V5" s="65">
        <v>7262911596</v>
      </c>
      <c r="W5" s="65">
        <v>719747996</v>
      </c>
      <c r="Z5" s="57" t="s">
        <v>5</v>
      </c>
      <c r="AA5" s="58" t="s">
        <v>0</v>
      </c>
      <c r="AB5" s="59" t="s">
        <v>108</v>
      </c>
      <c r="AC5" s="56">
        <f t="shared" si="1"/>
        <v>2944.42362</v>
      </c>
      <c r="AD5" s="62">
        <f t="shared" si="2"/>
        <v>916.04290400000002</v>
      </c>
      <c r="AE5" s="56">
        <f t="shared" si="3"/>
        <v>1504.9276279999999</v>
      </c>
      <c r="AF5" s="56">
        <f t="shared" si="4"/>
        <v>6019.7105119999997</v>
      </c>
      <c r="AG5" s="56">
        <f t="shared" si="5"/>
        <v>7001.1850519999998</v>
      </c>
      <c r="AH5" s="56">
        <f t="shared" si="6"/>
        <v>1112.337812</v>
      </c>
      <c r="AI5" s="56">
        <f t="shared" si="7"/>
        <v>5888.8472400000001</v>
      </c>
      <c r="AJ5" s="56">
        <f t="shared" si="8"/>
        <v>9291.2923119999996</v>
      </c>
      <c r="AK5" s="56">
        <f t="shared" si="9"/>
        <v>3206.1501640000001</v>
      </c>
      <c r="AL5" s="62">
        <f t="shared" si="10"/>
        <v>6150.5737840000002</v>
      </c>
      <c r="AM5" s="56">
        <f t="shared" si="11"/>
        <v>6019.7105119999997</v>
      </c>
      <c r="AN5" s="56">
        <f t="shared" si="12"/>
        <v>981.47454000000005</v>
      </c>
      <c r="AO5" s="56">
        <f t="shared" si="13"/>
        <v>327.15818000000002</v>
      </c>
      <c r="AP5" s="56">
        <f t="shared" si="14"/>
        <v>523.45308799999998</v>
      </c>
      <c r="AQ5" s="56">
        <f t="shared" si="15"/>
        <v>981.47454000000005</v>
      </c>
      <c r="AR5" s="62">
        <f t="shared" si="16"/>
        <v>3140.7185279999999</v>
      </c>
      <c r="AS5" s="56">
        <f t="shared" si="17"/>
        <v>65.431635999999997</v>
      </c>
      <c r="AT5" s="56">
        <f t="shared" si="18"/>
        <v>5234.5308800000003</v>
      </c>
      <c r="AU5" s="56">
        <f t="shared" si="19"/>
        <v>7262.9115959999999</v>
      </c>
      <c r="AV5" s="56">
        <f t="shared" ref="AV5:AV21" si="20">W5/1000000</f>
        <v>719.74799599999994</v>
      </c>
      <c r="AW5" s="60">
        <f>INDEX($AC$3:$AV$21,3,'Cálculos PP'!$C$1)</f>
        <v>719.74799599999994</v>
      </c>
      <c r="AX5" s="1">
        <v>3</v>
      </c>
    </row>
    <row r="6" spans="1:50" ht="33.75" customHeight="1" x14ac:dyDescent="0.15">
      <c r="A6" s="57" t="s">
        <v>5</v>
      </c>
      <c r="B6" s="58" t="s">
        <v>0</v>
      </c>
      <c r="C6" s="59" t="s">
        <v>109</v>
      </c>
      <c r="D6" s="65">
        <v>771937020</v>
      </c>
      <c r="E6" s="65">
        <v>240158184</v>
      </c>
      <c r="F6" s="65">
        <v>394545588</v>
      </c>
      <c r="G6" s="65">
        <v>1578182352</v>
      </c>
      <c r="H6" s="65">
        <v>1835494692</v>
      </c>
      <c r="I6" s="65">
        <v>291620652</v>
      </c>
      <c r="J6" s="65">
        <v>1543874040</v>
      </c>
      <c r="K6" s="65">
        <v>2435890152</v>
      </c>
      <c r="L6" s="65">
        <v>840553644</v>
      </c>
      <c r="M6" s="65">
        <v>1612490664</v>
      </c>
      <c r="N6" s="65">
        <v>1578182352</v>
      </c>
      <c r="O6" s="65">
        <v>257312340</v>
      </c>
      <c r="P6" s="65">
        <v>85770780</v>
      </c>
      <c r="Q6" s="65">
        <v>137233248</v>
      </c>
      <c r="R6" s="65">
        <v>257312340</v>
      </c>
      <c r="S6" s="65">
        <v>823399488</v>
      </c>
      <c r="T6" s="65">
        <v>17154156</v>
      </c>
      <c r="U6" s="65">
        <v>1372332480</v>
      </c>
      <c r="V6" s="65">
        <v>1904111316</v>
      </c>
      <c r="W6" s="65">
        <v>188695716</v>
      </c>
      <c r="Z6" s="57" t="s">
        <v>5</v>
      </c>
      <c r="AA6" s="58" t="s">
        <v>0</v>
      </c>
      <c r="AB6" s="59" t="s">
        <v>109</v>
      </c>
      <c r="AC6" s="56">
        <f t="shared" si="1"/>
        <v>771.93701999999996</v>
      </c>
      <c r="AD6" s="62">
        <f t="shared" si="2"/>
        <v>240.15818400000001</v>
      </c>
      <c r="AE6" s="56">
        <f t="shared" si="3"/>
        <v>394.54558800000001</v>
      </c>
      <c r="AF6" s="56">
        <f t="shared" si="4"/>
        <v>1578.182352</v>
      </c>
      <c r="AG6" s="56">
        <f t="shared" si="5"/>
        <v>1835.494692</v>
      </c>
      <c r="AH6" s="56">
        <f t="shared" si="6"/>
        <v>291.62065200000001</v>
      </c>
      <c r="AI6" s="56">
        <f t="shared" si="7"/>
        <v>1543.8740399999999</v>
      </c>
      <c r="AJ6" s="56">
        <f t="shared" si="8"/>
        <v>2435.8901519999999</v>
      </c>
      <c r="AK6" s="56">
        <f t="shared" si="9"/>
        <v>840.55364399999996</v>
      </c>
      <c r="AL6" s="62">
        <f t="shared" si="10"/>
        <v>1612.4906639999999</v>
      </c>
      <c r="AM6" s="56">
        <f t="shared" si="11"/>
        <v>1578.182352</v>
      </c>
      <c r="AN6" s="56">
        <f t="shared" si="12"/>
        <v>257.31234000000001</v>
      </c>
      <c r="AO6" s="56">
        <f t="shared" si="13"/>
        <v>85.770780000000002</v>
      </c>
      <c r="AP6" s="56">
        <f t="shared" si="14"/>
        <v>137.233248</v>
      </c>
      <c r="AQ6" s="56">
        <f t="shared" si="15"/>
        <v>257.31234000000001</v>
      </c>
      <c r="AR6" s="62">
        <f t="shared" si="16"/>
        <v>823.39948800000002</v>
      </c>
      <c r="AS6" s="56">
        <f t="shared" si="17"/>
        <v>17.154156</v>
      </c>
      <c r="AT6" s="56">
        <f t="shared" si="18"/>
        <v>1372.33248</v>
      </c>
      <c r="AU6" s="56">
        <f t="shared" si="19"/>
        <v>1904.111316</v>
      </c>
      <c r="AV6" s="56">
        <f t="shared" si="20"/>
        <v>188.695716</v>
      </c>
      <c r="AW6" s="60">
        <f>INDEX($AC$3:$AV$21,4,'Cálculos PP'!$C$1)</f>
        <v>188.695716</v>
      </c>
      <c r="AX6" s="1">
        <v>4</v>
      </c>
    </row>
    <row r="7" spans="1:50" ht="33.75" customHeight="1" x14ac:dyDescent="0.15">
      <c r="A7" s="31" t="s">
        <v>5</v>
      </c>
      <c r="B7" s="4" t="s">
        <v>0</v>
      </c>
      <c r="C7" s="18" t="s">
        <v>111</v>
      </c>
      <c r="D7" s="5">
        <v>3716360640</v>
      </c>
      <c r="E7" s="5">
        <v>1156201088</v>
      </c>
      <c r="F7" s="5">
        <v>1899473216</v>
      </c>
      <c r="G7" s="5">
        <v>7597892864</v>
      </c>
      <c r="H7" s="5">
        <v>8836679744</v>
      </c>
      <c r="I7" s="5">
        <v>1403958464</v>
      </c>
      <c r="J7" s="5">
        <v>7432721280</v>
      </c>
      <c r="K7" s="5">
        <v>11727182464</v>
      </c>
      <c r="L7" s="5">
        <v>4046703808</v>
      </c>
      <c r="M7" s="5">
        <v>7763064448</v>
      </c>
      <c r="N7" s="5">
        <v>7597892864</v>
      </c>
      <c r="O7" s="5">
        <v>1238786880</v>
      </c>
      <c r="P7" s="5">
        <v>412928960</v>
      </c>
      <c r="Q7" s="5">
        <v>660686336</v>
      </c>
      <c r="R7" s="5">
        <v>1238786880</v>
      </c>
      <c r="S7" s="5">
        <v>3964118016</v>
      </c>
      <c r="T7" s="5">
        <v>200000000</v>
      </c>
      <c r="U7" s="5">
        <v>6606863360</v>
      </c>
      <c r="V7" s="5">
        <v>9167022912</v>
      </c>
      <c r="W7" s="5">
        <v>908443712</v>
      </c>
      <c r="Z7" s="31" t="s">
        <v>5</v>
      </c>
      <c r="AA7" s="4" t="s">
        <v>0</v>
      </c>
      <c r="AB7" s="18" t="s">
        <v>111</v>
      </c>
      <c r="AC7" s="56">
        <f t="shared" si="1"/>
        <v>3716.3606399999999</v>
      </c>
      <c r="AD7" s="62">
        <f t="shared" si="2"/>
        <v>1156.201088</v>
      </c>
      <c r="AE7" s="56">
        <f t="shared" si="3"/>
        <v>1899.4732160000001</v>
      </c>
      <c r="AF7" s="56">
        <f t="shared" si="4"/>
        <v>7597.8928640000004</v>
      </c>
      <c r="AG7" s="56">
        <f t="shared" si="5"/>
        <v>8836.6797439999991</v>
      </c>
      <c r="AH7" s="56">
        <f t="shared" si="6"/>
        <v>1403.958464</v>
      </c>
      <c r="AI7" s="56">
        <f t="shared" si="7"/>
        <v>7432.7212799999998</v>
      </c>
      <c r="AJ7" s="56">
        <f t="shared" si="8"/>
        <v>11727.182464</v>
      </c>
      <c r="AK7" s="56">
        <f t="shared" si="9"/>
        <v>4046.7038080000002</v>
      </c>
      <c r="AL7" s="62">
        <f t="shared" si="10"/>
        <v>7763.0644480000001</v>
      </c>
      <c r="AM7" s="56">
        <f t="shared" si="11"/>
        <v>7597.8928640000004</v>
      </c>
      <c r="AN7" s="56">
        <f t="shared" si="12"/>
        <v>1238.7868800000001</v>
      </c>
      <c r="AO7" s="56">
        <f t="shared" si="13"/>
        <v>412.92896000000002</v>
      </c>
      <c r="AP7" s="56">
        <f t="shared" si="14"/>
        <v>660.68633599999998</v>
      </c>
      <c r="AQ7" s="56">
        <f t="shared" si="15"/>
        <v>1238.7868800000001</v>
      </c>
      <c r="AR7" s="62">
        <f t="shared" si="16"/>
        <v>3964.1180159999999</v>
      </c>
      <c r="AS7" s="56">
        <f t="shared" si="17"/>
        <v>200</v>
      </c>
      <c r="AT7" s="56">
        <f t="shared" si="18"/>
        <v>6606.8633600000003</v>
      </c>
      <c r="AU7" s="56">
        <f t="shared" si="19"/>
        <v>9167.0229120000004</v>
      </c>
      <c r="AV7" s="56">
        <f t="shared" si="20"/>
        <v>908.443712</v>
      </c>
      <c r="AW7" s="60">
        <f>INDEX($AC$3:$AV$21,5,'Cálculos PP'!$C$1)</f>
        <v>908.443712</v>
      </c>
      <c r="AX7" s="1">
        <v>5</v>
      </c>
    </row>
    <row r="8" spans="1:50" ht="33.75" customHeight="1" x14ac:dyDescent="0.15">
      <c r="A8" s="57" t="s">
        <v>5</v>
      </c>
      <c r="B8" s="58" t="s">
        <v>0</v>
      </c>
      <c r="C8" s="59" t="s">
        <v>105</v>
      </c>
      <c r="D8" s="65">
        <v>200000000</v>
      </c>
      <c r="E8" s="65">
        <v>200000000</v>
      </c>
      <c r="F8" s="65">
        <v>200000000</v>
      </c>
      <c r="G8" s="65">
        <v>400000000</v>
      </c>
      <c r="H8" s="65">
        <v>200000000</v>
      </c>
      <c r="I8" s="67">
        <v>0</v>
      </c>
      <c r="J8" s="65">
        <v>200000000</v>
      </c>
      <c r="K8" s="65">
        <v>200000000</v>
      </c>
      <c r="L8" s="65">
        <v>200000000</v>
      </c>
      <c r="M8" s="65">
        <v>200000000</v>
      </c>
      <c r="N8" s="65">
        <v>200000000</v>
      </c>
      <c r="O8" s="67">
        <v>0</v>
      </c>
      <c r="P8" s="67">
        <v>0</v>
      </c>
      <c r="Q8" s="65">
        <v>200000000</v>
      </c>
      <c r="R8" s="67">
        <v>0</v>
      </c>
      <c r="S8" s="65">
        <v>200000000</v>
      </c>
      <c r="T8" s="67">
        <v>0</v>
      </c>
      <c r="U8" s="65">
        <v>200000000</v>
      </c>
      <c r="V8" s="65">
        <v>400000000</v>
      </c>
      <c r="W8" s="67">
        <v>0</v>
      </c>
      <c r="Z8" s="57" t="s">
        <v>5</v>
      </c>
      <c r="AA8" s="58" t="s">
        <v>0</v>
      </c>
      <c r="AB8" s="59" t="s">
        <v>105</v>
      </c>
      <c r="AC8" s="56">
        <f t="shared" si="1"/>
        <v>200</v>
      </c>
      <c r="AD8" s="62">
        <f t="shared" si="2"/>
        <v>200</v>
      </c>
      <c r="AE8" s="56">
        <f t="shared" si="3"/>
        <v>200</v>
      </c>
      <c r="AF8" s="56">
        <f t="shared" si="4"/>
        <v>400</v>
      </c>
      <c r="AG8" s="56">
        <f t="shared" si="5"/>
        <v>200</v>
      </c>
      <c r="AH8" s="56">
        <f t="shared" si="6"/>
        <v>0</v>
      </c>
      <c r="AI8" s="56">
        <f t="shared" si="7"/>
        <v>200</v>
      </c>
      <c r="AJ8" s="56">
        <f t="shared" si="8"/>
        <v>200</v>
      </c>
      <c r="AK8" s="56">
        <f t="shared" si="9"/>
        <v>200</v>
      </c>
      <c r="AL8" s="62">
        <f t="shared" si="10"/>
        <v>200</v>
      </c>
      <c r="AM8" s="56">
        <f t="shared" si="11"/>
        <v>200</v>
      </c>
      <c r="AN8" s="56">
        <f t="shared" si="12"/>
        <v>0</v>
      </c>
      <c r="AO8" s="56">
        <f t="shared" si="13"/>
        <v>0</v>
      </c>
      <c r="AP8" s="56">
        <f t="shared" si="14"/>
        <v>200</v>
      </c>
      <c r="AQ8" s="56">
        <f t="shared" si="15"/>
        <v>0</v>
      </c>
      <c r="AR8" s="62">
        <f t="shared" si="16"/>
        <v>200</v>
      </c>
      <c r="AS8" s="56">
        <f t="shared" si="17"/>
        <v>0</v>
      </c>
      <c r="AT8" s="56">
        <f t="shared" si="18"/>
        <v>200</v>
      </c>
      <c r="AU8" s="56">
        <f t="shared" si="19"/>
        <v>400</v>
      </c>
      <c r="AV8" s="56">
        <f t="shared" si="20"/>
        <v>0</v>
      </c>
      <c r="AW8" s="60">
        <f>INDEX($AC$3:$AV$21,6,'Cálculos PP'!$C$1)</f>
        <v>0</v>
      </c>
      <c r="AX8" s="1">
        <v>6</v>
      </c>
    </row>
    <row r="9" spans="1:50" ht="33.75" customHeight="1" x14ac:dyDescent="0.15">
      <c r="A9" s="57" t="s">
        <v>5</v>
      </c>
      <c r="B9" s="58" t="s">
        <v>0</v>
      </c>
      <c r="C9" s="59" t="s">
        <v>106</v>
      </c>
      <c r="D9" s="67">
        <v>0</v>
      </c>
      <c r="E9" s="67">
        <v>0</v>
      </c>
      <c r="F9" s="67">
        <v>0</v>
      </c>
      <c r="G9" s="67">
        <v>0</v>
      </c>
      <c r="H9" s="67">
        <v>0</v>
      </c>
      <c r="I9" s="67">
        <v>0</v>
      </c>
      <c r="J9" s="67">
        <v>0</v>
      </c>
      <c r="K9" s="67">
        <v>0</v>
      </c>
      <c r="L9" s="67">
        <v>0</v>
      </c>
      <c r="M9" s="65">
        <v>200000000</v>
      </c>
      <c r="N9" s="67">
        <v>0</v>
      </c>
      <c r="O9" s="67">
        <v>0</v>
      </c>
      <c r="P9" s="67">
        <v>0</v>
      </c>
      <c r="Q9" s="67">
        <v>0</v>
      </c>
      <c r="R9" s="67">
        <v>0</v>
      </c>
      <c r="S9" s="67">
        <v>0</v>
      </c>
      <c r="T9" s="67">
        <v>0</v>
      </c>
      <c r="U9" s="67">
        <v>0</v>
      </c>
      <c r="V9" s="67">
        <v>0</v>
      </c>
      <c r="W9" s="67">
        <v>0</v>
      </c>
      <c r="Z9" s="57" t="s">
        <v>5</v>
      </c>
      <c r="AA9" s="58" t="s">
        <v>0</v>
      </c>
      <c r="AB9" s="59" t="s">
        <v>106</v>
      </c>
      <c r="AC9" s="56">
        <f t="shared" si="1"/>
        <v>0</v>
      </c>
      <c r="AD9" s="62">
        <f t="shared" si="2"/>
        <v>0</v>
      </c>
      <c r="AE9" s="56">
        <f t="shared" si="3"/>
        <v>0</v>
      </c>
      <c r="AF9" s="56">
        <f t="shared" si="4"/>
        <v>0</v>
      </c>
      <c r="AG9" s="56">
        <f t="shared" si="5"/>
        <v>0</v>
      </c>
      <c r="AH9" s="56">
        <f t="shared" si="6"/>
        <v>0</v>
      </c>
      <c r="AI9" s="56">
        <f t="shared" si="7"/>
        <v>0</v>
      </c>
      <c r="AJ9" s="56">
        <f t="shared" si="8"/>
        <v>0</v>
      </c>
      <c r="AK9" s="56">
        <f t="shared" si="9"/>
        <v>0</v>
      </c>
      <c r="AL9" s="62">
        <f t="shared" si="10"/>
        <v>200</v>
      </c>
      <c r="AM9" s="56">
        <f t="shared" si="11"/>
        <v>0</v>
      </c>
      <c r="AN9" s="56">
        <f t="shared" si="12"/>
        <v>0</v>
      </c>
      <c r="AO9" s="56">
        <f t="shared" si="13"/>
        <v>0</v>
      </c>
      <c r="AP9" s="56">
        <f t="shared" si="14"/>
        <v>0</v>
      </c>
      <c r="AQ9" s="56">
        <f t="shared" si="15"/>
        <v>0</v>
      </c>
      <c r="AR9" s="62">
        <f t="shared" si="16"/>
        <v>0</v>
      </c>
      <c r="AS9" s="56">
        <f t="shared" si="17"/>
        <v>0</v>
      </c>
      <c r="AT9" s="56">
        <f t="shared" si="18"/>
        <v>0</v>
      </c>
      <c r="AU9" s="56">
        <f t="shared" si="19"/>
        <v>0</v>
      </c>
      <c r="AV9" s="56">
        <f t="shared" si="20"/>
        <v>0</v>
      </c>
      <c r="AW9" s="60">
        <f>INDEX($AC$3:$AV$21,7,'Cálculos PP'!$C$1)</f>
        <v>0</v>
      </c>
      <c r="AX9" s="1">
        <v>7</v>
      </c>
    </row>
    <row r="10" spans="1:50" ht="33.75" customHeight="1" x14ac:dyDescent="0.15">
      <c r="A10" s="31" t="s">
        <v>5</v>
      </c>
      <c r="B10" s="4" t="s">
        <v>0</v>
      </c>
      <c r="C10" s="18" t="s">
        <v>107</v>
      </c>
      <c r="D10" s="5">
        <v>200000000</v>
      </c>
      <c r="E10" s="5">
        <v>200000000</v>
      </c>
      <c r="F10" s="5">
        <v>200000000</v>
      </c>
      <c r="G10" s="5">
        <v>400000000</v>
      </c>
      <c r="H10" s="5">
        <v>200000000</v>
      </c>
      <c r="I10" s="5">
        <v>0</v>
      </c>
      <c r="J10" s="5">
        <v>200000000</v>
      </c>
      <c r="K10" s="5">
        <v>200000000</v>
      </c>
      <c r="L10" s="5">
        <v>200000000</v>
      </c>
      <c r="M10" s="5">
        <v>400000000</v>
      </c>
      <c r="N10" s="5">
        <v>200000000</v>
      </c>
      <c r="O10" s="5">
        <v>0</v>
      </c>
      <c r="P10" s="5">
        <v>0</v>
      </c>
      <c r="Q10" s="5">
        <v>200000000</v>
      </c>
      <c r="R10" s="5">
        <v>0</v>
      </c>
      <c r="S10" s="5">
        <v>200000000</v>
      </c>
      <c r="T10" s="5">
        <v>0</v>
      </c>
      <c r="U10" s="5">
        <v>200000000</v>
      </c>
      <c r="V10" s="5">
        <v>400000000</v>
      </c>
      <c r="W10" s="5">
        <v>0</v>
      </c>
      <c r="Z10" s="31" t="s">
        <v>5</v>
      </c>
      <c r="AA10" s="4" t="s">
        <v>0</v>
      </c>
      <c r="AB10" s="18" t="s">
        <v>107</v>
      </c>
      <c r="AC10" s="56">
        <f t="shared" si="1"/>
        <v>200</v>
      </c>
      <c r="AD10" s="62">
        <f t="shared" si="2"/>
        <v>200</v>
      </c>
      <c r="AE10" s="56">
        <f t="shared" si="3"/>
        <v>200</v>
      </c>
      <c r="AF10" s="56">
        <f t="shared" si="4"/>
        <v>400</v>
      </c>
      <c r="AG10" s="56">
        <f t="shared" si="5"/>
        <v>200</v>
      </c>
      <c r="AH10" s="56">
        <f t="shared" si="6"/>
        <v>0</v>
      </c>
      <c r="AI10" s="56">
        <f t="shared" si="7"/>
        <v>200</v>
      </c>
      <c r="AJ10" s="56">
        <f t="shared" si="8"/>
        <v>200</v>
      </c>
      <c r="AK10" s="56">
        <f t="shared" si="9"/>
        <v>200</v>
      </c>
      <c r="AL10" s="62">
        <f t="shared" si="10"/>
        <v>400</v>
      </c>
      <c r="AM10" s="56">
        <f t="shared" si="11"/>
        <v>200</v>
      </c>
      <c r="AN10" s="56">
        <f t="shared" si="12"/>
        <v>0</v>
      </c>
      <c r="AO10" s="56">
        <f t="shared" si="13"/>
        <v>0</v>
      </c>
      <c r="AP10" s="56">
        <f t="shared" si="14"/>
        <v>200</v>
      </c>
      <c r="AQ10" s="56">
        <f t="shared" si="15"/>
        <v>0</v>
      </c>
      <c r="AR10" s="62">
        <f t="shared" si="16"/>
        <v>200</v>
      </c>
      <c r="AS10" s="56">
        <f t="shared" si="17"/>
        <v>0</v>
      </c>
      <c r="AT10" s="56">
        <f t="shared" si="18"/>
        <v>200</v>
      </c>
      <c r="AU10" s="56">
        <f t="shared" si="19"/>
        <v>400</v>
      </c>
      <c r="AV10" s="56">
        <f t="shared" si="20"/>
        <v>0</v>
      </c>
      <c r="AW10" s="60">
        <f>INDEX($AC$3:$AV$21,8,'Cálculos PP'!$C$1)</f>
        <v>0</v>
      </c>
      <c r="AX10" s="1">
        <v>8</v>
      </c>
    </row>
    <row r="11" spans="1:50" ht="33.75" customHeight="1" x14ac:dyDescent="0.15">
      <c r="A11" s="57" t="s">
        <v>5</v>
      </c>
      <c r="B11" s="58" t="s">
        <v>0</v>
      </c>
      <c r="C11" s="59" t="s">
        <v>101</v>
      </c>
      <c r="D11" s="65">
        <v>570403406</v>
      </c>
      <c r="E11" s="65">
        <v>203346565</v>
      </c>
      <c r="F11" s="65">
        <v>337523487</v>
      </c>
      <c r="G11" s="65">
        <v>967334213</v>
      </c>
      <c r="H11" s="65">
        <v>588130828</v>
      </c>
      <c r="I11" s="65">
        <v>572597312</v>
      </c>
      <c r="J11" s="65">
        <v>712001885</v>
      </c>
      <c r="K11" s="65">
        <v>590192653</v>
      </c>
      <c r="L11" s="65">
        <v>536669138</v>
      </c>
      <c r="M11" s="65">
        <v>654993768</v>
      </c>
      <c r="N11" s="65">
        <v>570466486</v>
      </c>
      <c r="O11" s="65">
        <v>347289114</v>
      </c>
      <c r="P11" s="65">
        <v>204371745</v>
      </c>
      <c r="Q11" s="65">
        <v>388239068</v>
      </c>
      <c r="R11" s="65">
        <v>207203748</v>
      </c>
      <c r="S11" s="65">
        <v>528535408</v>
      </c>
      <c r="T11" s="67">
        <v>0</v>
      </c>
      <c r="U11" s="65">
        <v>345388017</v>
      </c>
      <c r="V11" s="65">
        <v>709585818</v>
      </c>
      <c r="W11" s="65">
        <v>203503104</v>
      </c>
      <c r="Z11" s="57" t="s">
        <v>5</v>
      </c>
      <c r="AA11" s="58" t="s">
        <v>0</v>
      </c>
      <c r="AB11" s="59" t="s">
        <v>101</v>
      </c>
      <c r="AC11" s="56">
        <f t="shared" si="1"/>
        <v>570.40340600000002</v>
      </c>
      <c r="AD11" s="62">
        <f t="shared" si="2"/>
        <v>203.346565</v>
      </c>
      <c r="AE11" s="56">
        <f t="shared" si="3"/>
        <v>337.52348699999999</v>
      </c>
      <c r="AF11" s="56">
        <f t="shared" si="4"/>
        <v>967.33421299999998</v>
      </c>
      <c r="AG11" s="56">
        <f t="shared" si="5"/>
        <v>588.13082799999995</v>
      </c>
      <c r="AH11" s="56">
        <f t="shared" si="6"/>
        <v>572.59731199999999</v>
      </c>
      <c r="AI11" s="56">
        <f t="shared" si="7"/>
        <v>712.00188500000002</v>
      </c>
      <c r="AJ11" s="56">
        <f t="shared" si="8"/>
        <v>590.19265299999995</v>
      </c>
      <c r="AK11" s="56">
        <f t="shared" si="9"/>
        <v>536.66913799999998</v>
      </c>
      <c r="AL11" s="62">
        <f t="shared" si="10"/>
        <v>654.99376800000005</v>
      </c>
      <c r="AM11" s="56">
        <f t="shared" si="11"/>
        <v>570.46648600000003</v>
      </c>
      <c r="AN11" s="56">
        <f t="shared" si="12"/>
        <v>347.28911399999998</v>
      </c>
      <c r="AO11" s="56">
        <f t="shared" si="13"/>
        <v>204.371745</v>
      </c>
      <c r="AP11" s="56">
        <f t="shared" si="14"/>
        <v>388.23906799999997</v>
      </c>
      <c r="AQ11" s="56">
        <f t="shared" si="15"/>
        <v>207.20374799999999</v>
      </c>
      <c r="AR11" s="62">
        <f t="shared" si="16"/>
        <v>528.53540799999996</v>
      </c>
      <c r="AS11" s="56">
        <f t="shared" si="17"/>
        <v>0</v>
      </c>
      <c r="AT11" s="56">
        <f t="shared" si="18"/>
        <v>345.38801699999999</v>
      </c>
      <c r="AU11" s="56">
        <f t="shared" si="19"/>
        <v>709.58581800000002</v>
      </c>
      <c r="AV11" s="56">
        <f t="shared" si="20"/>
        <v>203.50310400000001</v>
      </c>
      <c r="AW11" s="60">
        <f>INDEX($AC$3:$AV$21,9,'Cálculos PP'!$C$1)</f>
        <v>203.50310400000001</v>
      </c>
      <c r="AX11" s="1">
        <v>9</v>
      </c>
    </row>
    <row r="12" spans="1:50" ht="33.75" customHeight="1" x14ac:dyDescent="0.15">
      <c r="A12" s="57" t="s">
        <v>5</v>
      </c>
      <c r="B12" s="58" t="s">
        <v>0</v>
      </c>
      <c r="C12" s="59" t="s">
        <v>102</v>
      </c>
      <c r="D12" s="65">
        <v>200000000</v>
      </c>
      <c r="E12" s="65">
        <v>200000000</v>
      </c>
      <c r="F12" s="67">
        <v>0</v>
      </c>
      <c r="G12" s="65">
        <v>200000000</v>
      </c>
      <c r="H12" s="65">
        <v>200000000</v>
      </c>
      <c r="I12" s="67">
        <v>0</v>
      </c>
      <c r="J12" s="65">
        <v>200000000</v>
      </c>
      <c r="K12" s="65">
        <v>200000000</v>
      </c>
      <c r="L12" s="65">
        <v>200000000</v>
      </c>
      <c r="M12" s="65">
        <v>200000000</v>
      </c>
      <c r="N12" s="65">
        <v>200000000</v>
      </c>
      <c r="O12" s="67">
        <v>0</v>
      </c>
      <c r="P12" s="67">
        <v>0</v>
      </c>
      <c r="Q12" s="65">
        <v>240000000</v>
      </c>
      <c r="R12" s="67">
        <v>0</v>
      </c>
      <c r="S12" s="67">
        <v>0</v>
      </c>
      <c r="T12" s="65">
        <v>200000000</v>
      </c>
      <c r="U12" s="67">
        <v>0</v>
      </c>
      <c r="V12" s="65">
        <v>200000000</v>
      </c>
      <c r="W12" s="67">
        <v>0</v>
      </c>
      <c r="Z12" s="57" t="s">
        <v>5</v>
      </c>
      <c r="AA12" s="58" t="s">
        <v>0</v>
      </c>
      <c r="AB12" s="59" t="s">
        <v>102</v>
      </c>
      <c r="AC12" s="56">
        <f t="shared" si="1"/>
        <v>200</v>
      </c>
      <c r="AD12" s="62">
        <f t="shared" si="2"/>
        <v>200</v>
      </c>
      <c r="AE12" s="56">
        <f t="shared" si="3"/>
        <v>0</v>
      </c>
      <c r="AF12" s="56">
        <f t="shared" si="4"/>
        <v>200</v>
      </c>
      <c r="AG12" s="56">
        <f t="shared" si="5"/>
        <v>200</v>
      </c>
      <c r="AH12" s="56">
        <f t="shared" si="6"/>
        <v>0</v>
      </c>
      <c r="AI12" s="56">
        <f t="shared" si="7"/>
        <v>200</v>
      </c>
      <c r="AJ12" s="56">
        <f t="shared" si="8"/>
        <v>200</v>
      </c>
      <c r="AK12" s="56">
        <f t="shared" si="9"/>
        <v>200</v>
      </c>
      <c r="AL12" s="62">
        <f t="shared" si="10"/>
        <v>200</v>
      </c>
      <c r="AM12" s="56">
        <f t="shared" si="11"/>
        <v>200</v>
      </c>
      <c r="AN12" s="56">
        <f t="shared" si="12"/>
        <v>0</v>
      </c>
      <c r="AO12" s="56">
        <f t="shared" si="13"/>
        <v>0</v>
      </c>
      <c r="AP12" s="56">
        <f t="shared" si="14"/>
        <v>240</v>
      </c>
      <c r="AQ12" s="56">
        <f t="shared" si="15"/>
        <v>0</v>
      </c>
      <c r="AR12" s="62">
        <f t="shared" si="16"/>
        <v>0</v>
      </c>
      <c r="AS12" s="56">
        <f t="shared" si="17"/>
        <v>200</v>
      </c>
      <c r="AT12" s="56">
        <f t="shared" si="18"/>
        <v>0</v>
      </c>
      <c r="AU12" s="56">
        <f t="shared" si="19"/>
        <v>200</v>
      </c>
      <c r="AV12" s="56">
        <f t="shared" si="20"/>
        <v>0</v>
      </c>
      <c r="AW12" s="60">
        <f>INDEX($AC$3:$AV$21,10,'Cálculos PP'!$C$1)</f>
        <v>0</v>
      </c>
      <c r="AX12" s="1">
        <v>10</v>
      </c>
    </row>
    <row r="13" spans="1:50" ht="33.75" customHeight="1" x14ac:dyDescent="0.15">
      <c r="A13" s="57" t="s">
        <v>5</v>
      </c>
      <c r="B13" s="58" t="s">
        <v>0</v>
      </c>
      <c r="C13" s="59" t="s">
        <v>103</v>
      </c>
      <c r="D13" s="67">
        <v>0</v>
      </c>
      <c r="E13" s="67">
        <v>0</v>
      </c>
      <c r="F13" s="67">
        <v>0</v>
      </c>
      <c r="G13" s="67">
        <v>0</v>
      </c>
      <c r="H13" s="67">
        <v>0</v>
      </c>
      <c r="I13" s="67">
        <v>0</v>
      </c>
      <c r="J13" s="67">
        <v>0</v>
      </c>
      <c r="K13" s="67">
        <v>0</v>
      </c>
      <c r="L13" s="67">
        <v>0</v>
      </c>
      <c r="M13" s="67">
        <v>0</v>
      </c>
      <c r="N13" s="65">
        <v>202418500</v>
      </c>
      <c r="O13" s="67">
        <v>0</v>
      </c>
      <c r="P13" s="67">
        <v>0</v>
      </c>
      <c r="Q13" s="67">
        <v>0</v>
      </c>
      <c r="R13" s="67">
        <v>0</v>
      </c>
      <c r="S13" s="67">
        <v>0</v>
      </c>
      <c r="T13" s="67">
        <v>0</v>
      </c>
      <c r="U13" s="65">
        <v>202418500</v>
      </c>
      <c r="V13" s="65">
        <v>202418500</v>
      </c>
      <c r="W13" s="67">
        <v>0</v>
      </c>
      <c r="Z13" s="57" t="s">
        <v>5</v>
      </c>
      <c r="AA13" s="58" t="s">
        <v>0</v>
      </c>
      <c r="AB13" s="59" t="s">
        <v>103</v>
      </c>
      <c r="AC13" s="56">
        <f t="shared" si="1"/>
        <v>0</v>
      </c>
      <c r="AD13" s="62">
        <f t="shared" si="2"/>
        <v>0</v>
      </c>
      <c r="AE13" s="56">
        <f t="shared" si="3"/>
        <v>0</v>
      </c>
      <c r="AF13" s="56">
        <f t="shared" si="4"/>
        <v>0</v>
      </c>
      <c r="AG13" s="56">
        <f t="shared" si="5"/>
        <v>0</v>
      </c>
      <c r="AH13" s="56">
        <f t="shared" si="6"/>
        <v>0</v>
      </c>
      <c r="AI13" s="56">
        <f t="shared" si="7"/>
        <v>0</v>
      </c>
      <c r="AJ13" s="56">
        <f t="shared" si="8"/>
        <v>0</v>
      </c>
      <c r="AK13" s="56">
        <f t="shared" si="9"/>
        <v>0</v>
      </c>
      <c r="AL13" s="62">
        <f t="shared" si="10"/>
        <v>0</v>
      </c>
      <c r="AM13" s="56">
        <f t="shared" si="11"/>
        <v>202.41849999999999</v>
      </c>
      <c r="AN13" s="56">
        <f t="shared" si="12"/>
        <v>0</v>
      </c>
      <c r="AO13" s="56">
        <f t="shared" si="13"/>
        <v>0</v>
      </c>
      <c r="AP13" s="56">
        <f t="shared" si="14"/>
        <v>0</v>
      </c>
      <c r="AQ13" s="56">
        <f t="shared" si="15"/>
        <v>0</v>
      </c>
      <c r="AR13" s="62">
        <f t="shared" si="16"/>
        <v>0</v>
      </c>
      <c r="AS13" s="56">
        <f t="shared" si="17"/>
        <v>0</v>
      </c>
      <c r="AT13" s="56">
        <f t="shared" si="18"/>
        <v>202.41849999999999</v>
      </c>
      <c r="AU13" s="56">
        <f t="shared" si="19"/>
        <v>202.41849999999999</v>
      </c>
      <c r="AV13" s="56">
        <f t="shared" si="20"/>
        <v>0</v>
      </c>
      <c r="AW13" s="60">
        <f>INDEX($AC$3:$AV$21,11,'Cálculos PP'!$C$1)</f>
        <v>0</v>
      </c>
      <c r="AX13" s="1">
        <v>11</v>
      </c>
    </row>
    <row r="14" spans="1:50" ht="33.75" customHeight="1" x14ac:dyDescent="0.15">
      <c r="A14" s="31" t="s">
        <v>5</v>
      </c>
      <c r="B14" s="4" t="s">
        <v>0</v>
      </c>
      <c r="C14" s="18" t="s">
        <v>104</v>
      </c>
      <c r="D14" s="5">
        <v>770403406</v>
      </c>
      <c r="E14" s="5">
        <v>403346565</v>
      </c>
      <c r="F14" s="5">
        <v>337523487</v>
      </c>
      <c r="G14" s="5">
        <v>1167334213</v>
      </c>
      <c r="H14" s="5">
        <v>788130828</v>
      </c>
      <c r="I14" s="5">
        <v>572597312</v>
      </c>
      <c r="J14" s="5">
        <v>912001885</v>
      </c>
      <c r="K14" s="5">
        <v>790192653</v>
      </c>
      <c r="L14" s="5">
        <v>736669138</v>
      </c>
      <c r="M14" s="5">
        <v>854993768</v>
      </c>
      <c r="N14" s="5">
        <v>972884986</v>
      </c>
      <c r="O14" s="5">
        <v>347289114</v>
      </c>
      <c r="P14" s="5">
        <v>204371745</v>
      </c>
      <c r="Q14" s="5">
        <v>628239068</v>
      </c>
      <c r="R14" s="5">
        <v>207203748</v>
      </c>
      <c r="S14" s="5">
        <v>528535408</v>
      </c>
      <c r="T14" s="5">
        <v>200000000</v>
      </c>
      <c r="U14" s="5">
        <v>547806517</v>
      </c>
      <c r="V14" s="5">
        <v>1112004318</v>
      </c>
      <c r="W14" s="5">
        <v>203503104</v>
      </c>
      <c r="Z14" s="31" t="s">
        <v>5</v>
      </c>
      <c r="AA14" s="4" t="s">
        <v>0</v>
      </c>
      <c r="AB14" s="18" t="s">
        <v>104</v>
      </c>
      <c r="AC14" s="56">
        <f t="shared" si="1"/>
        <v>770.40340600000002</v>
      </c>
      <c r="AD14" s="62">
        <f t="shared" si="2"/>
        <v>403.346565</v>
      </c>
      <c r="AE14" s="56">
        <f t="shared" si="3"/>
        <v>337.52348699999999</v>
      </c>
      <c r="AF14" s="56">
        <f t="shared" si="4"/>
        <v>1167.3342130000001</v>
      </c>
      <c r="AG14" s="56">
        <f t="shared" si="5"/>
        <v>788.13082799999995</v>
      </c>
      <c r="AH14" s="56">
        <f t="shared" si="6"/>
        <v>572.59731199999999</v>
      </c>
      <c r="AI14" s="56">
        <f t="shared" si="7"/>
        <v>912.00188500000002</v>
      </c>
      <c r="AJ14" s="56">
        <f t="shared" si="8"/>
        <v>790.19265299999995</v>
      </c>
      <c r="AK14" s="56">
        <f t="shared" si="9"/>
        <v>736.66913799999998</v>
      </c>
      <c r="AL14" s="62">
        <f t="shared" si="10"/>
        <v>854.99376800000005</v>
      </c>
      <c r="AM14" s="56">
        <f t="shared" si="11"/>
        <v>972.88498600000003</v>
      </c>
      <c r="AN14" s="56">
        <f t="shared" si="12"/>
        <v>347.28911399999998</v>
      </c>
      <c r="AO14" s="56">
        <f t="shared" si="13"/>
        <v>204.371745</v>
      </c>
      <c r="AP14" s="56">
        <f t="shared" si="14"/>
        <v>628.23906799999997</v>
      </c>
      <c r="AQ14" s="56">
        <f t="shared" si="15"/>
        <v>207.20374799999999</v>
      </c>
      <c r="AR14" s="62">
        <f t="shared" si="16"/>
        <v>528.53540799999996</v>
      </c>
      <c r="AS14" s="56">
        <f t="shared" si="17"/>
        <v>200</v>
      </c>
      <c r="AT14" s="56">
        <f t="shared" si="18"/>
        <v>547.80651699999999</v>
      </c>
      <c r="AU14" s="56">
        <f t="shared" si="19"/>
        <v>1112.004318</v>
      </c>
      <c r="AV14" s="56">
        <f t="shared" si="20"/>
        <v>203.50310400000001</v>
      </c>
      <c r="AW14" s="60">
        <f>INDEX($AC$3:$AV$21,12,'Cálculos PP'!$C$1)</f>
        <v>203.50310400000001</v>
      </c>
      <c r="AX14" s="1">
        <v>12</v>
      </c>
    </row>
    <row r="15" spans="1:50" ht="33.75" customHeight="1" x14ac:dyDescent="0.15">
      <c r="A15" s="31" t="s">
        <v>5</v>
      </c>
      <c r="B15" s="4" t="s">
        <v>0</v>
      </c>
      <c r="C15" s="18" t="s">
        <v>39</v>
      </c>
      <c r="D15" s="66">
        <v>0</v>
      </c>
      <c r="E15" s="5">
        <v>484651500</v>
      </c>
      <c r="F15" s="66">
        <v>0</v>
      </c>
      <c r="G15" s="5">
        <v>484651500</v>
      </c>
      <c r="H15" s="66">
        <v>0</v>
      </c>
      <c r="I15" s="66">
        <v>0</v>
      </c>
      <c r="J15" s="5">
        <v>484651500</v>
      </c>
      <c r="K15" s="5">
        <v>455763500</v>
      </c>
      <c r="L15" s="5">
        <v>484651500</v>
      </c>
      <c r="M15" s="5">
        <v>484651500</v>
      </c>
      <c r="N15" s="5">
        <v>455763500</v>
      </c>
      <c r="O15" s="5">
        <v>455763500</v>
      </c>
      <c r="P15" s="66">
        <v>0</v>
      </c>
      <c r="Q15" s="5">
        <v>484651500</v>
      </c>
      <c r="R15" s="5">
        <v>484651500</v>
      </c>
      <c r="S15" s="66">
        <v>0</v>
      </c>
      <c r="T15" s="5">
        <v>455763500</v>
      </c>
      <c r="U15" s="5">
        <v>484651500</v>
      </c>
      <c r="V15" s="5">
        <v>969303000</v>
      </c>
      <c r="W15" s="66">
        <v>0</v>
      </c>
      <c r="Z15" s="31" t="s">
        <v>5</v>
      </c>
      <c r="AA15" s="4" t="s">
        <v>0</v>
      </c>
      <c r="AB15" s="18" t="s">
        <v>39</v>
      </c>
      <c r="AC15" s="56">
        <f t="shared" si="1"/>
        <v>0</v>
      </c>
      <c r="AD15" s="62">
        <f t="shared" si="2"/>
        <v>484.6515</v>
      </c>
      <c r="AE15" s="56">
        <f t="shared" si="3"/>
        <v>0</v>
      </c>
      <c r="AF15" s="56">
        <f t="shared" si="4"/>
        <v>484.6515</v>
      </c>
      <c r="AG15" s="56">
        <f t="shared" si="5"/>
        <v>0</v>
      </c>
      <c r="AH15" s="56">
        <f t="shared" si="6"/>
        <v>0</v>
      </c>
      <c r="AI15" s="56">
        <f t="shared" si="7"/>
        <v>484.6515</v>
      </c>
      <c r="AJ15" s="56">
        <f t="shared" si="8"/>
        <v>455.76350000000002</v>
      </c>
      <c r="AK15" s="56">
        <f t="shared" si="9"/>
        <v>484.6515</v>
      </c>
      <c r="AL15" s="62">
        <f t="shared" si="10"/>
        <v>484.6515</v>
      </c>
      <c r="AM15" s="56">
        <f t="shared" si="11"/>
        <v>455.76350000000002</v>
      </c>
      <c r="AN15" s="56">
        <f t="shared" si="12"/>
        <v>455.76350000000002</v>
      </c>
      <c r="AO15" s="56">
        <f t="shared" si="13"/>
        <v>0</v>
      </c>
      <c r="AP15" s="56">
        <f t="shared" si="14"/>
        <v>484.6515</v>
      </c>
      <c r="AQ15" s="56">
        <f t="shared" si="15"/>
        <v>484.6515</v>
      </c>
      <c r="AR15" s="62">
        <f t="shared" si="16"/>
        <v>0</v>
      </c>
      <c r="AS15" s="56">
        <f t="shared" si="17"/>
        <v>455.76350000000002</v>
      </c>
      <c r="AT15" s="56">
        <f t="shared" si="18"/>
        <v>484.6515</v>
      </c>
      <c r="AU15" s="56">
        <f t="shared" si="19"/>
        <v>969.303</v>
      </c>
      <c r="AV15" s="56">
        <f t="shared" si="20"/>
        <v>0</v>
      </c>
      <c r="AW15" s="60">
        <f>INDEX($AC$3:$AV$21,13,'Cálculos PP'!$C$1)</f>
        <v>0</v>
      </c>
      <c r="AX15" s="1">
        <v>13</v>
      </c>
    </row>
    <row r="16" spans="1:50" ht="33.75" customHeight="1" x14ac:dyDescent="0.15">
      <c r="A16" s="31" t="s">
        <v>5</v>
      </c>
      <c r="B16" s="4" t="s">
        <v>0</v>
      </c>
      <c r="C16" s="18" t="s">
        <v>80</v>
      </c>
      <c r="D16" s="66">
        <v>0</v>
      </c>
      <c r="E16" s="66">
        <v>0</v>
      </c>
      <c r="F16" s="66">
        <v>0</v>
      </c>
      <c r="G16" s="66">
        <v>0</v>
      </c>
      <c r="H16" s="66">
        <v>0</v>
      </c>
      <c r="I16" s="66">
        <v>0</v>
      </c>
      <c r="J16" s="66">
        <v>0</v>
      </c>
      <c r="K16" s="66">
        <v>0</v>
      </c>
      <c r="L16" s="66">
        <v>0</v>
      </c>
      <c r="M16" s="66">
        <v>0</v>
      </c>
      <c r="N16" s="66">
        <v>0</v>
      </c>
      <c r="O16" s="66">
        <v>0</v>
      </c>
      <c r="P16" s="56">
        <v>200000000</v>
      </c>
      <c r="Q16" s="56">
        <v>200289806</v>
      </c>
      <c r="R16" s="66">
        <v>0</v>
      </c>
      <c r="S16" s="66">
        <v>0</v>
      </c>
      <c r="T16" s="66">
        <v>0</v>
      </c>
      <c r="U16" s="66">
        <v>0</v>
      </c>
      <c r="V16" s="66">
        <v>0</v>
      </c>
      <c r="W16" s="66">
        <v>0</v>
      </c>
      <c r="Z16" s="31" t="s">
        <v>5</v>
      </c>
      <c r="AA16" s="4" t="s">
        <v>0</v>
      </c>
      <c r="AB16" s="18" t="s">
        <v>80</v>
      </c>
      <c r="AC16" s="56">
        <f t="shared" si="1"/>
        <v>0</v>
      </c>
      <c r="AD16" s="62">
        <f t="shared" si="2"/>
        <v>0</v>
      </c>
      <c r="AE16" s="56">
        <f t="shared" si="3"/>
        <v>0</v>
      </c>
      <c r="AF16" s="56">
        <f t="shared" si="4"/>
        <v>0</v>
      </c>
      <c r="AG16" s="56">
        <f t="shared" si="5"/>
        <v>0</v>
      </c>
      <c r="AH16" s="56">
        <f t="shared" si="6"/>
        <v>0</v>
      </c>
      <c r="AI16" s="56">
        <f t="shared" si="7"/>
        <v>0</v>
      </c>
      <c r="AJ16" s="56">
        <f t="shared" si="8"/>
        <v>0</v>
      </c>
      <c r="AK16" s="56">
        <f t="shared" si="9"/>
        <v>0</v>
      </c>
      <c r="AL16" s="62">
        <f t="shared" si="10"/>
        <v>0</v>
      </c>
      <c r="AM16" s="56">
        <f t="shared" si="11"/>
        <v>0</v>
      </c>
      <c r="AN16" s="56">
        <f t="shared" si="12"/>
        <v>0</v>
      </c>
      <c r="AO16" s="56">
        <f t="shared" si="13"/>
        <v>200</v>
      </c>
      <c r="AP16" s="56">
        <f t="shared" si="14"/>
        <v>200.289806</v>
      </c>
      <c r="AQ16" s="56">
        <f t="shared" si="15"/>
        <v>0</v>
      </c>
      <c r="AR16" s="62">
        <f t="shared" si="16"/>
        <v>0</v>
      </c>
      <c r="AS16" s="56">
        <f t="shared" si="17"/>
        <v>0</v>
      </c>
      <c r="AT16" s="56">
        <f t="shared" si="18"/>
        <v>0</v>
      </c>
      <c r="AU16" s="56">
        <f t="shared" si="19"/>
        <v>0</v>
      </c>
      <c r="AV16" s="56">
        <f t="shared" si="20"/>
        <v>0</v>
      </c>
      <c r="AW16" s="60">
        <f>INDEX($AC$3:$AV$21,14,'Cálculos PP'!$C$1)</f>
        <v>0</v>
      </c>
      <c r="AX16" s="1">
        <v>14</v>
      </c>
    </row>
    <row r="17" spans="1:50" ht="33.75" customHeight="1" x14ac:dyDescent="0.15">
      <c r="A17" s="31" t="s">
        <v>5</v>
      </c>
      <c r="B17" s="4" t="s">
        <v>0</v>
      </c>
      <c r="C17" s="18" t="s">
        <v>112</v>
      </c>
      <c r="D17" s="5">
        <v>23200000000</v>
      </c>
      <c r="E17" s="5">
        <v>7900000000</v>
      </c>
      <c r="F17" s="5">
        <v>3950000000</v>
      </c>
      <c r="G17" s="5">
        <v>13100000000</v>
      </c>
      <c r="H17" s="5">
        <v>13650000000</v>
      </c>
      <c r="I17" s="5">
        <v>2500000000</v>
      </c>
      <c r="J17" s="5">
        <v>11950000000</v>
      </c>
      <c r="K17" s="5">
        <v>26950000000</v>
      </c>
      <c r="L17" s="5">
        <v>13900000000</v>
      </c>
      <c r="M17" s="5">
        <v>26500000000</v>
      </c>
      <c r="N17" s="5">
        <v>48900000000</v>
      </c>
      <c r="O17" s="5">
        <v>5300000000</v>
      </c>
      <c r="P17" s="5">
        <v>6300000000</v>
      </c>
      <c r="Q17" s="5">
        <v>2150000000</v>
      </c>
      <c r="R17" s="5">
        <v>2600000000</v>
      </c>
      <c r="S17" s="5">
        <v>13200000000</v>
      </c>
      <c r="T17" s="5">
        <v>500000000</v>
      </c>
      <c r="U17" s="5">
        <v>12600000000</v>
      </c>
      <c r="V17" s="5">
        <v>21450000000</v>
      </c>
      <c r="W17" s="5">
        <v>250000000</v>
      </c>
      <c r="Z17" s="31" t="s">
        <v>5</v>
      </c>
      <c r="AA17" s="4" t="s">
        <v>0</v>
      </c>
      <c r="AB17" s="18" t="s">
        <v>112</v>
      </c>
      <c r="AC17" s="56">
        <f t="shared" si="1"/>
        <v>23200</v>
      </c>
      <c r="AD17" s="62">
        <f t="shared" si="2"/>
        <v>7900</v>
      </c>
      <c r="AE17" s="56">
        <f t="shared" si="3"/>
        <v>3950</v>
      </c>
      <c r="AF17" s="56">
        <f t="shared" si="4"/>
        <v>13100</v>
      </c>
      <c r="AG17" s="56">
        <f t="shared" si="5"/>
        <v>13650</v>
      </c>
      <c r="AH17" s="56">
        <f t="shared" si="6"/>
        <v>2500</v>
      </c>
      <c r="AI17" s="56">
        <f t="shared" si="7"/>
        <v>11950</v>
      </c>
      <c r="AJ17" s="56">
        <f t="shared" si="8"/>
        <v>26950</v>
      </c>
      <c r="AK17" s="56">
        <f t="shared" si="9"/>
        <v>13900</v>
      </c>
      <c r="AL17" s="62">
        <f t="shared" si="10"/>
        <v>26500</v>
      </c>
      <c r="AM17" s="56">
        <f t="shared" si="11"/>
        <v>48900</v>
      </c>
      <c r="AN17" s="56">
        <f t="shared" si="12"/>
        <v>5300</v>
      </c>
      <c r="AO17" s="56">
        <f t="shared" si="13"/>
        <v>6300</v>
      </c>
      <c r="AP17" s="56">
        <f t="shared" si="14"/>
        <v>2150</v>
      </c>
      <c r="AQ17" s="56">
        <f t="shared" si="15"/>
        <v>2600</v>
      </c>
      <c r="AR17" s="62">
        <f t="shared" si="16"/>
        <v>13200</v>
      </c>
      <c r="AS17" s="56">
        <f t="shared" si="17"/>
        <v>500</v>
      </c>
      <c r="AT17" s="56">
        <f t="shared" si="18"/>
        <v>12600</v>
      </c>
      <c r="AU17" s="56">
        <f t="shared" si="19"/>
        <v>21450</v>
      </c>
      <c r="AV17" s="56">
        <f t="shared" si="20"/>
        <v>250</v>
      </c>
      <c r="AW17" s="60">
        <f>INDEX($AC$3:$AV$21,15,'Cálculos PP'!$C$1)</f>
        <v>250</v>
      </c>
      <c r="AX17" s="1">
        <v>15</v>
      </c>
    </row>
    <row r="18" spans="1:50" ht="33.75" customHeight="1" x14ac:dyDescent="0.15">
      <c r="A18" s="31" t="s">
        <v>5</v>
      </c>
      <c r="B18" s="4" t="s">
        <v>6</v>
      </c>
      <c r="C18" s="18" t="s">
        <v>113</v>
      </c>
      <c r="D18" s="5">
        <v>12855664965</v>
      </c>
      <c r="E18" s="5">
        <v>6117145320</v>
      </c>
      <c r="F18" s="5">
        <v>6485954046</v>
      </c>
      <c r="G18" s="5">
        <v>7074333123</v>
      </c>
      <c r="H18" s="5">
        <v>10068434805</v>
      </c>
      <c r="I18" s="5">
        <v>3734975244</v>
      </c>
      <c r="J18" s="5">
        <v>3791305947</v>
      </c>
      <c r="K18" s="5">
        <v>13679894943</v>
      </c>
      <c r="L18" s="5">
        <v>6171196746</v>
      </c>
      <c r="M18" s="5">
        <v>10790531466</v>
      </c>
      <c r="N18" s="5">
        <v>31337670936</v>
      </c>
      <c r="O18" s="5">
        <v>3933163806</v>
      </c>
      <c r="P18" s="5">
        <v>6618803334</v>
      </c>
      <c r="Q18" s="5">
        <v>772240755</v>
      </c>
      <c r="R18" s="5">
        <v>1253602350</v>
      </c>
      <c r="S18" s="5">
        <v>4576354068</v>
      </c>
      <c r="T18" s="5">
        <v>840184917</v>
      </c>
      <c r="U18" s="5">
        <v>5968015482</v>
      </c>
      <c r="V18" s="5">
        <v>5416321911</v>
      </c>
      <c r="W18" s="66">
        <v>0</v>
      </c>
      <c r="Z18" s="31" t="s">
        <v>5</v>
      </c>
      <c r="AA18" s="4" t="s">
        <v>6</v>
      </c>
      <c r="AB18" s="18" t="s">
        <v>113</v>
      </c>
      <c r="AC18" s="56">
        <f t="shared" si="1"/>
        <v>12855.664965</v>
      </c>
      <c r="AD18" s="62">
        <f t="shared" si="2"/>
        <v>6117.1453199999996</v>
      </c>
      <c r="AE18" s="56">
        <f t="shared" si="3"/>
        <v>6485.9540459999998</v>
      </c>
      <c r="AF18" s="56">
        <f t="shared" si="4"/>
        <v>7074.3331230000003</v>
      </c>
      <c r="AG18" s="56">
        <f t="shared" si="5"/>
        <v>10068.434805000001</v>
      </c>
      <c r="AH18" s="56">
        <f t="shared" si="6"/>
        <v>3734.9752440000002</v>
      </c>
      <c r="AI18" s="56">
        <f t="shared" si="7"/>
        <v>3791.3059469999998</v>
      </c>
      <c r="AJ18" s="56">
        <f t="shared" si="8"/>
        <v>13679.894942999999</v>
      </c>
      <c r="AK18" s="56">
        <f t="shared" si="9"/>
        <v>6171.1967459999996</v>
      </c>
      <c r="AL18" s="62">
        <f t="shared" si="10"/>
        <v>10790.531466</v>
      </c>
      <c r="AM18" s="56">
        <f t="shared" si="11"/>
        <v>31337.670935999999</v>
      </c>
      <c r="AN18" s="56">
        <f t="shared" si="12"/>
        <v>3933.163806</v>
      </c>
      <c r="AO18" s="56">
        <f t="shared" si="13"/>
        <v>6618.8033340000002</v>
      </c>
      <c r="AP18" s="56">
        <f t="shared" si="14"/>
        <v>772.24075500000004</v>
      </c>
      <c r="AQ18" s="56">
        <f t="shared" si="15"/>
        <v>1253.6023499999999</v>
      </c>
      <c r="AR18" s="62">
        <f t="shared" si="16"/>
        <v>4576.3540679999996</v>
      </c>
      <c r="AS18" s="56">
        <f t="shared" si="17"/>
        <v>840.18491700000004</v>
      </c>
      <c r="AT18" s="56">
        <f t="shared" si="18"/>
        <v>5968.0154819999998</v>
      </c>
      <c r="AU18" s="56">
        <f t="shared" si="19"/>
        <v>5416.321911</v>
      </c>
      <c r="AV18" s="56">
        <f t="shared" si="20"/>
        <v>0</v>
      </c>
      <c r="AW18" s="60">
        <f>INDEX($AC$3:$AV$21,16,'Cálculos PP'!$C$1)</f>
        <v>0</v>
      </c>
      <c r="AX18" s="1">
        <v>16</v>
      </c>
    </row>
    <row r="19" spans="1:50" ht="33.75" customHeight="1" x14ac:dyDescent="0.15">
      <c r="A19" s="31" t="s">
        <v>5</v>
      </c>
      <c r="B19" s="4" t="s">
        <v>17</v>
      </c>
      <c r="C19" s="18" t="s">
        <v>28</v>
      </c>
      <c r="D19" s="5">
        <v>824000000</v>
      </c>
      <c r="E19" s="5">
        <v>824000000</v>
      </c>
      <c r="F19" s="5">
        <v>824000000</v>
      </c>
      <c r="G19" s="5">
        <v>824000000</v>
      </c>
      <c r="H19" s="5">
        <v>824000000</v>
      </c>
      <c r="I19" s="5">
        <v>824000000</v>
      </c>
      <c r="J19" s="5">
        <v>1100000000</v>
      </c>
      <c r="K19" s="5">
        <v>1100000000</v>
      </c>
      <c r="L19" s="5">
        <v>824000000</v>
      </c>
      <c r="M19" s="5">
        <v>1100000000</v>
      </c>
      <c r="N19" s="5">
        <v>1100000000</v>
      </c>
      <c r="O19" s="5">
        <v>824000000</v>
      </c>
      <c r="P19" s="5">
        <v>824000000</v>
      </c>
      <c r="Q19" s="5">
        <v>824000000</v>
      </c>
      <c r="R19" s="5">
        <v>824000000</v>
      </c>
      <c r="S19" s="5">
        <v>824000000</v>
      </c>
      <c r="T19" s="5">
        <v>824000000</v>
      </c>
      <c r="U19" s="5">
        <v>824000000</v>
      </c>
      <c r="V19" s="5">
        <v>1100000000</v>
      </c>
      <c r="W19" s="5">
        <v>824000000</v>
      </c>
      <c r="Z19" s="31" t="s">
        <v>5</v>
      </c>
      <c r="AA19" s="4" t="s">
        <v>17</v>
      </c>
      <c r="AB19" s="18" t="s">
        <v>28</v>
      </c>
      <c r="AC19" s="56">
        <f t="shared" si="1"/>
        <v>824</v>
      </c>
      <c r="AD19" s="62">
        <f t="shared" si="2"/>
        <v>824</v>
      </c>
      <c r="AE19" s="56">
        <f t="shared" si="3"/>
        <v>824</v>
      </c>
      <c r="AF19" s="56">
        <f t="shared" si="4"/>
        <v>824</v>
      </c>
      <c r="AG19" s="56">
        <f t="shared" si="5"/>
        <v>824</v>
      </c>
      <c r="AH19" s="56">
        <f t="shared" si="6"/>
        <v>824</v>
      </c>
      <c r="AI19" s="56">
        <f t="shared" si="7"/>
        <v>1100</v>
      </c>
      <c r="AJ19" s="56">
        <f t="shared" si="8"/>
        <v>1100</v>
      </c>
      <c r="AK19" s="56">
        <f t="shared" si="9"/>
        <v>824</v>
      </c>
      <c r="AL19" s="62">
        <f t="shared" si="10"/>
        <v>1100</v>
      </c>
      <c r="AM19" s="56">
        <f t="shared" si="11"/>
        <v>1100</v>
      </c>
      <c r="AN19" s="56">
        <f t="shared" si="12"/>
        <v>824</v>
      </c>
      <c r="AO19" s="56">
        <f t="shared" si="13"/>
        <v>824</v>
      </c>
      <c r="AP19" s="56">
        <f t="shared" si="14"/>
        <v>824</v>
      </c>
      <c r="AQ19" s="56">
        <f t="shared" si="15"/>
        <v>824</v>
      </c>
      <c r="AR19" s="62">
        <f t="shared" si="16"/>
        <v>824</v>
      </c>
      <c r="AS19" s="56">
        <f t="shared" si="17"/>
        <v>824</v>
      </c>
      <c r="AT19" s="56">
        <f t="shared" si="18"/>
        <v>824</v>
      </c>
      <c r="AU19" s="56">
        <f t="shared" si="19"/>
        <v>1100</v>
      </c>
      <c r="AV19" s="56">
        <f t="shared" si="20"/>
        <v>824</v>
      </c>
      <c r="AW19" s="60">
        <f>INDEX($AC$3:$AV$21,17,'Cálculos PP'!$C$1)</f>
        <v>824</v>
      </c>
      <c r="AX19" s="1">
        <v>17</v>
      </c>
    </row>
    <row r="20" spans="1:50" ht="33.75" customHeight="1" x14ac:dyDescent="0.15">
      <c r="A20" s="31" t="s">
        <v>5</v>
      </c>
      <c r="B20" s="4" t="s">
        <v>17</v>
      </c>
      <c r="C20" s="18" t="s">
        <v>29</v>
      </c>
      <c r="D20" s="5">
        <v>1100000000</v>
      </c>
      <c r="E20" s="5">
        <v>1100000000</v>
      </c>
      <c r="F20" s="5">
        <v>1100000000</v>
      </c>
      <c r="G20" s="5">
        <v>1100000000</v>
      </c>
      <c r="H20" s="5">
        <v>1100000000</v>
      </c>
      <c r="I20" s="5">
        <v>1100000000</v>
      </c>
      <c r="J20" s="5">
        <v>1380000000</v>
      </c>
      <c r="K20" s="5">
        <v>1380000000</v>
      </c>
      <c r="L20" s="5">
        <v>1100000000</v>
      </c>
      <c r="M20" s="5">
        <v>1380000000</v>
      </c>
      <c r="N20" s="5">
        <v>1380000000</v>
      </c>
      <c r="O20" s="5">
        <v>1100000000</v>
      </c>
      <c r="P20" s="5">
        <v>1100000000</v>
      </c>
      <c r="Q20" s="5">
        <v>1100000000</v>
      </c>
      <c r="R20" s="5">
        <v>1100000000</v>
      </c>
      <c r="S20" s="5">
        <v>1100000000</v>
      </c>
      <c r="T20" s="5">
        <v>1100000000</v>
      </c>
      <c r="U20" s="5">
        <v>1100000000</v>
      </c>
      <c r="V20" s="5">
        <v>1380000000</v>
      </c>
      <c r="W20" s="5">
        <v>1100000000</v>
      </c>
      <c r="Z20" s="31" t="s">
        <v>5</v>
      </c>
      <c r="AA20" s="4" t="s">
        <v>17</v>
      </c>
      <c r="AB20" s="18" t="s">
        <v>29</v>
      </c>
      <c r="AC20" s="56">
        <f t="shared" si="1"/>
        <v>1100</v>
      </c>
      <c r="AD20" s="62">
        <f t="shared" si="2"/>
        <v>1100</v>
      </c>
      <c r="AE20" s="56">
        <f t="shared" si="3"/>
        <v>1100</v>
      </c>
      <c r="AF20" s="56">
        <f t="shared" si="4"/>
        <v>1100</v>
      </c>
      <c r="AG20" s="56">
        <f t="shared" si="5"/>
        <v>1100</v>
      </c>
      <c r="AH20" s="56">
        <f t="shared" si="6"/>
        <v>1100</v>
      </c>
      <c r="AI20" s="56">
        <f t="shared" si="7"/>
        <v>1380</v>
      </c>
      <c r="AJ20" s="56">
        <f t="shared" si="8"/>
        <v>1380</v>
      </c>
      <c r="AK20" s="56">
        <f t="shared" si="9"/>
        <v>1100</v>
      </c>
      <c r="AL20" s="62">
        <f t="shared" si="10"/>
        <v>1380</v>
      </c>
      <c r="AM20" s="56">
        <f t="shared" si="11"/>
        <v>1380</v>
      </c>
      <c r="AN20" s="56">
        <f t="shared" si="12"/>
        <v>1100</v>
      </c>
      <c r="AO20" s="56">
        <f t="shared" si="13"/>
        <v>1100</v>
      </c>
      <c r="AP20" s="56">
        <f t="shared" si="14"/>
        <v>1100</v>
      </c>
      <c r="AQ20" s="56">
        <f t="shared" si="15"/>
        <v>1100</v>
      </c>
      <c r="AR20" s="62">
        <f t="shared" si="16"/>
        <v>1100</v>
      </c>
      <c r="AS20" s="56">
        <f t="shared" si="17"/>
        <v>1100</v>
      </c>
      <c r="AT20" s="56">
        <f t="shared" si="18"/>
        <v>1100</v>
      </c>
      <c r="AU20" s="56">
        <f t="shared" si="19"/>
        <v>1380</v>
      </c>
      <c r="AV20" s="56">
        <f t="shared" si="20"/>
        <v>1100</v>
      </c>
      <c r="AW20" s="60">
        <f>INDEX($AC$3:$AV$21,18,'Cálculos PP'!$C$1)</f>
        <v>1100</v>
      </c>
      <c r="AX20" s="1">
        <v>18</v>
      </c>
    </row>
    <row r="21" spans="1:50" ht="33.75" customHeight="1" x14ac:dyDescent="0.15">
      <c r="A21" s="31" t="s">
        <v>5</v>
      </c>
      <c r="B21" s="4" t="s">
        <v>17</v>
      </c>
      <c r="C21" s="18" t="s">
        <v>30</v>
      </c>
      <c r="D21" s="5">
        <v>824000000</v>
      </c>
      <c r="E21" s="5">
        <v>824000000</v>
      </c>
      <c r="F21" s="5">
        <v>824000000</v>
      </c>
      <c r="G21" s="5">
        <v>824000000</v>
      </c>
      <c r="H21" s="5">
        <v>824000000</v>
      </c>
      <c r="I21" s="5">
        <v>824000000</v>
      </c>
      <c r="J21" s="5">
        <v>1100000000</v>
      </c>
      <c r="K21" s="5">
        <v>1100000000</v>
      </c>
      <c r="L21" s="5">
        <v>824000000</v>
      </c>
      <c r="M21" s="5">
        <v>1100000000</v>
      </c>
      <c r="N21" s="5">
        <v>1100000000</v>
      </c>
      <c r="O21" s="5">
        <v>824000000</v>
      </c>
      <c r="P21" s="5">
        <v>824000000</v>
      </c>
      <c r="Q21" s="5">
        <v>824000000</v>
      </c>
      <c r="R21" s="5">
        <v>824000000</v>
      </c>
      <c r="S21" s="5">
        <v>824000000</v>
      </c>
      <c r="T21" s="5">
        <v>824000000</v>
      </c>
      <c r="U21" s="5">
        <v>824000000</v>
      </c>
      <c r="V21" s="5">
        <v>1100000000</v>
      </c>
      <c r="W21" s="5">
        <v>824000000</v>
      </c>
      <c r="Z21" s="31" t="s">
        <v>5</v>
      </c>
      <c r="AA21" s="4" t="s">
        <v>17</v>
      </c>
      <c r="AB21" s="18" t="s">
        <v>30</v>
      </c>
      <c r="AC21" s="56">
        <f t="shared" si="1"/>
        <v>824</v>
      </c>
      <c r="AD21" s="62">
        <f t="shared" si="2"/>
        <v>824</v>
      </c>
      <c r="AE21" s="56">
        <f t="shared" si="3"/>
        <v>824</v>
      </c>
      <c r="AF21" s="56">
        <f t="shared" si="4"/>
        <v>824</v>
      </c>
      <c r="AG21" s="56">
        <f t="shared" si="5"/>
        <v>824</v>
      </c>
      <c r="AH21" s="56">
        <f t="shared" si="6"/>
        <v>824</v>
      </c>
      <c r="AI21" s="56">
        <f t="shared" si="7"/>
        <v>1100</v>
      </c>
      <c r="AJ21" s="56">
        <f t="shared" si="8"/>
        <v>1100</v>
      </c>
      <c r="AK21" s="56">
        <f t="shared" si="9"/>
        <v>824</v>
      </c>
      <c r="AL21" s="62">
        <f t="shared" si="10"/>
        <v>1100</v>
      </c>
      <c r="AM21" s="56">
        <f t="shared" si="11"/>
        <v>1100</v>
      </c>
      <c r="AN21" s="56">
        <f t="shared" si="12"/>
        <v>824</v>
      </c>
      <c r="AO21" s="56">
        <f t="shared" si="13"/>
        <v>824</v>
      </c>
      <c r="AP21" s="56">
        <f t="shared" si="14"/>
        <v>824</v>
      </c>
      <c r="AQ21" s="56">
        <f t="shared" si="15"/>
        <v>824</v>
      </c>
      <c r="AR21" s="62">
        <f t="shared" si="16"/>
        <v>824</v>
      </c>
      <c r="AS21" s="56">
        <f t="shared" si="17"/>
        <v>824</v>
      </c>
      <c r="AT21" s="56">
        <f t="shared" si="18"/>
        <v>824</v>
      </c>
      <c r="AU21" s="56">
        <f t="shared" si="19"/>
        <v>1100</v>
      </c>
      <c r="AV21" s="56">
        <f t="shared" si="20"/>
        <v>824</v>
      </c>
      <c r="AW21" s="60">
        <f>INDEX($AC$3:$AV$21,19,'Cálculos PP'!$C$1)</f>
        <v>824</v>
      </c>
      <c r="AX21" s="1">
        <v>19</v>
      </c>
    </row>
  </sheetData>
  <sheetProtection algorithmName="SHA-512" hashValue="XfCZROs5wihTBOeylnDgBRGj0Pu8CBHguk7RBp0px5rB5nBFZNsZtJ+jam9J00WqWfb6LoBeIs+MzmIWvhzJUw==" saltValue="0dAAOz4MNhbYqeNj6x6lVw==" spinCount="100000" sheet="1" autoFilter="0" pivotTables="0"/>
  <mergeCells count="4">
    <mergeCell ref="A1:C1"/>
    <mergeCell ref="D1:W1"/>
    <mergeCell ref="Z1:AB1"/>
    <mergeCell ref="AC1:AV1"/>
  </mergeCells>
  <dataValidations count="1">
    <dataValidation type="list" allowBlank="1" showInputMessage="1" showErrorMessage="1" sqref="B3:C21 AA3:AB21" xr:uid="{00000000-0002-0000-0100-000000000000}">
      <formula1>LINEA</formula1>
    </dataValidation>
  </dataValidations>
  <pageMargins left="0.7" right="0.7" top="0.75" bottom="0.75" header="0.3" footer="0.3"/>
  <pageSetup scale="11"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pageSetUpPr fitToPage="1"/>
  </sheetPr>
  <dimension ref="A1:M88"/>
  <sheetViews>
    <sheetView showGridLines="0" view="pageBreakPreview" zoomScale="60" zoomScaleNormal="100" workbookViewId="0">
      <selection activeCell="F14" sqref="F14"/>
    </sheetView>
  </sheetViews>
  <sheetFormatPr baseColWidth="10" defaultColWidth="11" defaultRowHeight="14" x14ac:dyDescent="0.2"/>
  <cols>
    <col min="1" max="1" width="22.1640625" style="1" customWidth="1"/>
    <col min="2" max="2" width="28.1640625" style="1" customWidth="1"/>
    <col min="3" max="3" width="35.83203125" style="1" customWidth="1"/>
    <col min="4" max="4" width="16.83203125" style="1" customWidth="1"/>
    <col min="5" max="5" width="16.5" style="1" customWidth="1"/>
    <col min="6" max="6" width="23.33203125" style="1" customWidth="1"/>
    <col min="7" max="7" width="21.5" style="1" customWidth="1"/>
    <col min="8" max="8" width="16.1640625" style="1" customWidth="1"/>
    <col min="9" max="9" width="20.1640625" style="63" customWidth="1"/>
    <col min="10" max="10" width="22.6640625" style="63" customWidth="1"/>
    <col min="11" max="11" width="15.33203125" style="1" customWidth="1"/>
    <col min="12" max="12" width="21.1640625" style="1" customWidth="1"/>
    <col min="13" max="16384" width="11" style="1"/>
  </cols>
  <sheetData>
    <row r="1" spans="1:13" ht="28.5" customHeight="1" thickBot="1" x14ac:dyDescent="0.25">
      <c r="A1" s="121" t="s">
        <v>87</v>
      </c>
      <c r="B1" s="141" t="s">
        <v>76</v>
      </c>
      <c r="C1" s="68">
        <f>VLOOKUP($B$1,'Proyección Presupuestal Local'!$A$4:$G$23,7,0)</f>
        <v>20</v>
      </c>
      <c r="H1" s="77"/>
    </row>
    <row r="2" spans="1:13" ht="15" thickBot="1" x14ac:dyDescent="0.25"/>
    <row r="3" spans="1:13" s="63" customFormat="1" ht="39.75" customHeight="1" thickBot="1" x14ac:dyDescent="0.25">
      <c r="A3" s="171" t="s">
        <v>97</v>
      </c>
      <c r="B3" s="172"/>
      <c r="C3" s="172"/>
      <c r="D3" s="172"/>
      <c r="E3" s="172"/>
      <c r="F3" s="173"/>
      <c r="G3" s="176" t="s">
        <v>130</v>
      </c>
      <c r="H3" s="177"/>
      <c r="I3" s="177"/>
      <c r="J3" s="178"/>
      <c r="L3" s="197" t="s">
        <v>136</v>
      </c>
      <c r="M3" s="198"/>
    </row>
    <row r="4" spans="1:13" s="133" customFormat="1" ht="45.75" customHeight="1" x14ac:dyDescent="0.2">
      <c r="A4" s="123" t="s">
        <v>2</v>
      </c>
      <c r="B4" s="124" t="s">
        <v>3</v>
      </c>
      <c r="C4" s="124" t="s">
        <v>4</v>
      </c>
      <c r="D4" s="125" t="s">
        <v>110</v>
      </c>
      <c r="E4" s="124" t="s">
        <v>91</v>
      </c>
      <c r="F4" s="126" t="s">
        <v>137</v>
      </c>
      <c r="G4" s="127" t="s">
        <v>121</v>
      </c>
      <c r="H4" s="128" t="s">
        <v>115</v>
      </c>
      <c r="I4" s="129" t="s">
        <v>116</v>
      </c>
      <c r="J4" s="130" t="s">
        <v>129</v>
      </c>
      <c r="K4" s="131" t="s">
        <v>127</v>
      </c>
      <c r="L4" s="132" t="s">
        <v>128</v>
      </c>
      <c r="M4" s="134" t="s">
        <v>100</v>
      </c>
    </row>
    <row r="5" spans="1:13" ht="37.5" customHeight="1" x14ac:dyDescent="0.15">
      <c r="A5" s="114" t="s">
        <v>5</v>
      </c>
      <c r="B5" s="115" t="s">
        <v>15</v>
      </c>
      <c r="C5" s="116" t="s">
        <v>16</v>
      </c>
      <c r="D5" s="140">
        <v>225</v>
      </c>
      <c r="E5" s="97">
        <f>D5/$D$54</f>
        <v>2.0082113530881827E-2</v>
      </c>
      <c r="F5" s="144">
        <f t="shared" ref="F5:F36" si="0">$C$63*E5</f>
        <v>1340.0097821090685</v>
      </c>
      <c r="G5" s="99">
        <f>IF(F5&gt;=200,F5,0)</f>
        <v>1340.0097821090685</v>
      </c>
      <c r="H5" s="100"/>
      <c r="I5" s="142">
        <f>IF($H5=0,0,IF($H5&gt;$G5,0,G5-H5))</f>
        <v>0</v>
      </c>
      <c r="J5" s="112">
        <f>G5-I5</f>
        <v>1340.0097821090685</v>
      </c>
      <c r="K5" s="113"/>
      <c r="L5" s="135">
        <f>SUM(J5+K5)</f>
        <v>1340.0097821090685</v>
      </c>
      <c r="M5" s="101">
        <f>L5/$L$54</f>
        <v>2.0082033353323578E-2</v>
      </c>
    </row>
    <row r="6" spans="1:13" ht="37.5" customHeight="1" x14ac:dyDescent="0.15">
      <c r="A6" s="114" t="s">
        <v>5</v>
      </c>
      <c r="B6" s="115" t="s">
        <v>15</v>
      </c>
      <c r="C6" s="116" t="s">
        <v>24</v>
      </c>
      <c r="D6" s="140">
        <v>51</v>
      </c>
      <c r="E6" s="97">
        <f t="shared" ref="E6:E36" si="1">D6/$D$54</f>
        <v>4.5519457336665476E-3</v>
      </c>
      <c r="F6" s="98">
        <f t="shared" si="0"/>
        <v>303.73555061138887</v>
      </c>
      <c r="G6" s="99">
        <f t="shared" ref="G6:G53" si="2">IF(F6&gt;=200,F6,0)</f>
        <v>303.73555061138887</v>
      </c>
      <c r="H6" s="100"/>
      <c r="I6" s="142">
        <f t="shared" ref="I6:I53" si="3">IF($H6=0,0,IF($H6&gt;$G6,0,G6-H6))</f>
        <v>0</v>
      </c>
      <c r="J6" s="112">
        <f t="shared" ref="J6:J36" si="4">G6-I6</f>
        <v>303.73555061138887</v>
      </c>
      <c r="K6" s="113"/>
      <c r="L6" s="135">
        <f t="shared" ref="L6:L53" si="5">SUM(J6+K6)</f>
        <v>303.73555061138887</v>
      </c>
      <c r="M6" s="101">
        <f t="shared" ref="M6:M53" si="6">L6/$L$54</f>
        <v>4.5519275600866774E-3</v>
      </c>
    </row>
    <row r="7" spans="1:13" ht="37.5" customHeight="1" x14ac:dyDescent="0.15">
      <c r="A7" s="114" t="s">
        <v>5</v>
      </c>
      <c r="B7" s="115" t="s">
        <v>15</v>
      </c>
      <c r="C7" s="116" t="s">
        <v>25</v>
      </c>
      <c r="D7" s="140">
        <v>126</v>
      </c>
      <c r="E7" s="97">
        <f t="shared" si="1"/>
        <v>1.1245983577293823E-2</v>
      </c>
      <c r="F7" s="98">
        <f t="shared" si="0"/>
        <v>750.40547798107832</v>
      </c>
      <c r="G7" s="99">
        <f t="shared" si="2"/>
        <v>750.40547798107832</v>
      </c>
      <c r="H7" s="100"/>
      <c r="I7" s="142">
        <f t="shared" si="3"/>
        <v>0</v>
      </c>
      <c r="J7" s="112">
        <f t="shared" si="4"/>
        <v>750.40547798107832</v>
      </c>
      <c r="K7" s="113"/>
      <c r="L7" s="135">
        <f t="shared" si="5"/>
        <v>750.40547798107832</v>
      </c>
      <c r="M7" s="101">
        <f t="shared" si="6"/>
        <v>1.1245938677861203E-2</v>
      </c>
    </row>
    <row r="8" spans="1:13" ht="37.5" customHeight="1" x14ac:dyDescent="0.15">
      <c r="A8" s="114" t="s">
        <v>5</v>
      </c>
      <c r="B8" s="115" t="s">
        <v>15</v>
      </c>
      <c r="C8" s="116" t="s">
        <v>139</v>
      </c>
      <c r="D8" s="140">
        <v>0</v>
      </c>
      <c r="E8" s="97">
        <f t="shared" si="1"/>
        <v>0</v>
      </c>
      <c r="F8" s="98">
        <f t="shared" si="0"/>
        <v>0</v>
      </c>
      <c r="G8" s="99">
        <f t="shared" si="2"/>
        <v>0</v>
      </c>
      <c r="H8" s="100"/>
      <c r="I8" s="142">
        <f t="shared" si="3"/>
        <v>0</v>
      </c>
      <c r="J8" s="112">
        <f t="shared" si="4"/>
        <v>0</v>
      </c>
      <c r="K8" s="113"/>
      <c r="L8" s="135">
        <f t="shared" si="5"/>
        <v>0</v>
      </c>
      <c r="M8" s="101">
        <f t="shared" si="6"/>
        <v>0</v>
      </c>
    </row>
    <row r="9" spans="1:13" ht="37.5" customHeight="1" x14ac:dyDescent="0.15">
      <c r="A9" s="114" t="s">
        <v>5</v>
      </c>
      <c r="B9" s="115" t="s">
        <v>17</v>
      </c>
      <c r="C9" s="116" t="s">
        <v>18</v>
      </c>
      <c r="D9" s="140">
        <v>137</v>
      </c>
      <c r="E9" s="97">
        <f t="shared" si="1"/>
        <v>1.2227775794359158E-2</v>
      </c>
      <c r="F9" s="98">
        <f t="shared" si="0"/>
        <v>815.91706732863281</v>
      </c>
      <c r="G9" s="99">
        <f t="shared" si="2"/>
        <v>815.91706732863281</v>
      </c>
      <c r="H9" s="100"/>
      <c r="I9" s="142">
        <f t="shared" si="3"/>
        <v>0</v>
      </c>
      <c r="J9" s="112">
        <f t="shared" si="4"/>
        <v>815.91706732863281</v>
      </c>
      <c r="K9" s="113"/>
      <c r="L9" s="135">
        <f t="shared" si="5"/>
        <v>815.91706732863281</v>
      </c>
      <c r="M9" s="101">
        <f t="shared" si="6"/>
        <v>1.2227726975134801E-2</v>
      </c>
    </row>
    <row r="10" spans="1:13" ht="37.5" customHeight="1" x14ac:dyDescent="0.15">
      <c r="A10" s="114" t="s">
        <v>5</v>
      </c>
      <c r="B10" s="115" t="s">
        <v>17</v>
      </c>
      <c r="C10" s="116" t="s">
        <v>19</v>
      </c>
      <c r="D10" s="140">
        <v>437</v>
      </c>
      <c r="E10" s="97">
        <f t="shared" si="1"/>
        <v>3.900392716886826E-2</v>
      </c>
      <c r="F10" s="98">
        <f t="shared" si="0"/>
        <v>2602.5967768073906</v>
      </c>
      <c r="G10" s="99">
        <f t="shared" si="2"/>
        <v>2602.5967768073906</v>
      </c>
      <c r="H10" s="100"/>
      <c r="I10" s="142">
        <f t="shared" si="3"/>
        <v>0</v>
      </c>
      <c r="J10" s="112">
        <f t="shared" si="4"/>
        <v>2602.5967768073906</v>
      </c>
      <c r="K10" s="113"/>
      <c r="L10" s="135">
        <f t="shared" si="5"/>
        <v>2602.5967768073906</v>
      </c>
      <c r="M10" s="101">
        <f t="shared" si="6"/>
        <v>3.9003771446232897E-2</v>
      </c>
    </row>
    <row r="11" spans="1:13" ht="37.5" customHeight="1" x14ac:dyDescent="0.15">
      <c r="A11" s="114" t="s">
        <v>5</v>
      </c>
      <c r="B11" s="115" t="s">
        <v>17</v>
      </c>
      <c r="C11" s="116" t="s">
        <v>20</v>
      </c>
      <c r="D11" s="140">
        <v>189</v>
      </c>
      <c r="E11" s="97">
        <f t="shared" si="1"/>
        <v>1.6868975365940734E-2</v>
      </c>
      <c r="F11" s="98">
        <f t="shared" si="0"/>
        <v>1125.6082169716174</v>
      </c>
      <c r="G11" s="99">
        <f t="shared" si="2"/>
        <v>1125.6082169716174</v>
      </c>
      <c r="H11" s="100"/>
      <c r="I11" s="142">
        <f t="shared" si="3"/>
        <v>0</v>
      </c>
      <c r="J11" s="112">
        <f t="shared" si="4"/>
        <v>1125.6082169716174</v>
      </c>
      <c r="K11" s="113"/>
      <c r="L11" s="135">
        <f t="shared" si="5"/>
        <v>1125.6082169716174</v>
      </c>
      <c r="M11" s="101">
        <f t="shared" si="6"/>
        <v>1.6868908016791802E-2</v>
      </c>
    </row>
    <row r="12" spans="1:13" ht="37.5" customHeight="1" x14ac:dyDescent="0.15">
      <c r="A12" s="114" t="s">
        <v>5</v>
      </c>
      <c r="B12" s="115" t="s">
        <v>17</v>
      </c>
      <c r="C12" s="116" t="s">
        <v>21</v>
      </c>
      <c r="D12" s="140">
        <v>430</v>
      </c>
      <c r="E12" s="97">
        <f t="shared" si="1"/>
        <v>3.8379150303463047E-2</v>
      </c>
      <c r="F12" s="98">
        <f t="shared" si="0"/>
        <v>2560.9075835862195</v>
      </c>
      <c r="G12" s="99">
        <f t="shared" si="2"/>
        <v>2560.9075835862195</v>
      </c>
      <c r="H12" s="100"/>
      <c r="I12" s="142">
        <f t="shared" si="3"/>
        <v>0</v>
      </c>
      <c r="J12" s="112">
        <f t="shared" si="4"/>
        <v>2560.9075835862195</v>
      </c>
      <c r="K12" s="113"/>
      <c r="L12" s="135">
        <f t="shared" si="5"/>
        <v>2560.9075835862195</v>
      </c>
      <c r="M12" s="101">
        <f t="shared" si="6"/>
        <v>3.837899707524061E-2</v>
      </c>
    </row>
    <row r="13" spans="1:13" ht="37.5" customHeight="1" x14ac:dyDescent="0.15">
      <c r="A13" s="114" t="s">
        <v>5</v>
      </c>
      <c r="B13" s="115" t="s">
        <v>17</v>
      </c>
      <c r="C13" s="116" t="s">
        <v>79</v>
      </c>
      <c r="D13" s="140">
        <v>129</v>
      </c>
      <c r="E13" s="97">
        <f t="shared" si="1"/>
        <v>1.1513745091038915E-2</v>
      </c>
      <c r="F13" s="98">
        <f t="shared" si="0"/>
        <v>768.27227507586599</v>
      </c>
      <c r="G13" s="99">
        <f t="shared" si="2"/>
        <v>768.27227507586599</v>
      </c>
      <c r="H13" s="100"/>
      <c r="I13" s="142">
        <f t="shared" si="3"/>
        <v>0</v>
      </c>
      <c r="J13" s="112">
        <f t="shared" si="4"/>
        <v>768.27227507586599</v>
      </c>
      <c r="K13" s="113"/>
      <c r="L13" s="135">
        <f t="shared" si="5"/>
        <v>768.27227507586599</v>
      </c>
      <c r="M13" s="101">
        <f t="shared" si="6"/>
        <v>1.1513699122572186E-2</v>
      </c>
    </row>
    <row r="14" spans="1:13" ht="37.5" customHeight="1" x14ac:dyDescent="0.15">
      <c r="A14" s="114" t="s">
        <v>5</v>
      </c>
      <c r="B14" s="115" t="s">
        <v>17</v>
      </c>
      <c r="C14" s="116" t="s">
        <v>27</v>
      </c>
      <c r="D14" s="140">
        <v>284</v>
      </c>
      <c r="E14" s="97">
        <f t="shared" si="1"/>
        <v>2.5348089967868619E-2</v>
      </c>
      <c r="F14" s="98">
        <f t="shared" si="0"/>
        <v>1691.3901249732244</v>
      </c>
      <c r="G14" s="99">
        <f t="shared" si="2"/>
        <v>1691.3901249732244</v>
      </c>
      <c r="H14" s="100"/>
      <c r="I14" s="142">
        <f t="shared" si="3"/>
        <v>0</v>
      </c>
      <c r="J14" s="112">
        <f t="shared" si="4"/>
        <v>1691.3901249732244</v>
      </c>
      <c r="K14" s="113"/>
      <c r="L14" s="135">
        <f t="shared" si="5"/>
        <v>1691.3901249732244</v>
      </c>
      <c r="M14" s="101">
        <f t="shared" si="6"/>
        <v>2.5347988765972874E-2</v>
      </c>
    </row>
    <row r="15" spans="1:13" ht="37.5" customHeight="1" x14ac:dyDescent="0.15">
      <c r="A15" s="114" t="s">
        <v>5</v>
      </c>
      <c r="B15" s="115" t="s">
        <v>17</v>
      </c>
      <c r="C15" s="116" t="s">
        <v>28</v>
      </c>
      <c r="D15" s="140">
        <v>0</v>
      </c>
      <c r="E15" s="97">
        <f t="shared" si="1"/>
        <v>0</v>
      </c>
      <c r="F15" s="98">
        <f t="shared" si="0"/>
        <v>0</v>
      </c>
      <c r="G15" s="99">
        <f t="shared" si="2"/>
        <v>0</v>
      </c>
      <c r="H15" s="102">
        <f>Equipamientos!AW19</f>
        <v>824</v>
      </c>
      <c r="I15" s="142">
        <f t="shared" si="3"/>
        <v>0</v>
      </c>
      <c r="J15" s="112">
        <f>G15-I15</f>
        <v>0</v>
      </c>
      <c r="K15" s="113"/>
      <c r="L15" s="135">
        <f t="shared" si="5"/>
        <v>0</v>
      </c>
      <c r="M15" s="101">
        <f t="shared" si="6"/>
        <v>0</v>
      </c>
    </row>
    <row r="16" spans="1:13" ht="37.5" customHeight="1" x14ac:dyDescent="0.15">
      <c r="A16" s="114" t="s">
        <v>5</v>
      </c>
      <c r="B16" s="115" t="s">
        <v>17</v>
      </c>
      <c r="C16" s="116" t="s">
        <v>29</v>
      </c>
      <c r="D16" s="140">
        <v>0</v>
      </c>
      <c r="E16" s="97">
        <f t="shared" si="1"/>
        <v>0</v>
      </c>
      <c r="F16" s="98">
        <f t="shared" si="0"/>
        <v>0</v>
      </c>
      <c r="G16" s="99">
        <f t="shared" si="2"/>
        <v>0</v>
      </c>
      <c r="H16" s="102">
        <f>Equipamientos!AW20</f>
        <v>1100</v>
      </c>
      <c r="I16" s="142">
        <f t="shared" si="3"/>
        <v>0</v>
      </c>
      <c r="J16" s="112">
        <f t="shared" si="4"/>
        <v>0</v>
      </c>
      <c r="K16" s="113"/>
      <c r="L16" s="135">
        <f t="shared" si="5"/>
        <v>0</v>
      </c>
      <c r="M16" s="101">
        <f t="shared" si="6"/>
        <v>0</v>
      </c>
    </row>
    <row r="17" spans="1:13" ht="37.5" customHeight="1" x14ac:dyDescent="0.15">
      <c r="A17" s="114" t="s">
        <v>5</v>
      </c>
      <c r="B17" s="115" t="s">
        <v>17</v>
      </c>
      <c r="C17" s="116" t="s">
        <v>30</v>
      </c>
      <c r="D17" s="140">
        <v>83</v>
      </c>
      <c r="E17" s="97">
        <f t="shared" si="1"/>
        <v>7.4080685469475188E-3</v>
      </c>
      <c r="F17" s="98">
        <f t="shared" si="0"/>
        <v>494.31471962245638</v>
      </c>
      <c r="G17" s="99">
        <f t="shared" si="2"/>
        <v>494.31471962245638</v>
      </c>
      <c r="H17" s="102">
        <f>Equipamientos!AW21</f>
        <v>824</v>
      </c>
      <c r="I17" s="142">
        <f t="shared" si="3"/>
        <v>0</v>
      </c>
      <c r="J17" s="112">
        <f t="shared" si="4"/>
        <v>494.31471962245638</v>
      </c>
      <c r="K17" s="113"/>
      <c r="L17" s="135">
        <f t="shared" si="5"/>
        <v>494.31471962245638</v>
      </c>
      <c r="M17" s="101">
        <f t="shared" si="6"/>
        <v>7.4080389703371418E-3</v>
      </c>
    </row>
    <row r="18" spans="1:13" ht="53.25" customHeight="1" x14ac:dyDescent="0.15">
      <c r="A18" s="114" t="s">
        <v>5</v>
      </c>
      <c r="B18" s="115" t="s">
        <v>17</v>
      </c>
      <c r="C18" s="116" t="s">
        <v>36</v>
      </c>
      <c r="D18" s="140">
        <v>158</v>
      </c>
      <c r="E18" s="97">
        <f t="shared" si="1"/>
        <v>1.4102106390574794E-2</v>
      </c>
      <c r="F18" s="98">
        <f t="shared" si="0"/>
        <v>940.98464699214583</v>
      </c>
      <c r="G18" s="99">
        <f t="shared" si="2"/>
        <v>940.98464699214583</v>
      </c>
      <c r="H18" s="100"/>
      <c r="I18" s="142">
        <f t="shared" si="3"/>
        <v>0</v>
      </c>
      <c r="J18" s="112">
        <f t="shared" si="4"/>
        <v>940.98464699214583</v>
      </c>
      <c r="K18" s="113"/>
      <c r="L18" s="135">
        <f t="shared" si="5"/>
        <v>940.98464699214583</v>
      </c>
      <c r="M18" s="101">
        <f t="shared" si="6"/>
        <v>1.4102050088111667E-2</v>
      </c>
    </row>
    <row r="19" spans="1:13" ht="37.5" customHeight="1" x14ac:dyDescent="0.15">
      <c r="A19" s="114" t="s">
        <v>5</v>
      </c>
      <c r="B19" s="115" t="s">
        <v>17</v>
      </c>
      <c r="C19" s="116" t="s">
        <v>46</v>
      </c>
      <c r="D19" s="140">
        <v>370</v>
      </c>
      <c r="E19" s="97">
        <f t="shared" si="1"/>
        <v>3.3023920028561228E-2</v>
      </c>
      <c r="F19" s="98">
        <f t="shared" si="0"/>
        <v>2203.5716416904684</v>
      </c>
      <c r="G19" s="99">
        <f t="shared" si="2"/>
        <v>2203.5716416904684</v>
      </c>
      <c r="H19" s="100"/>
      <c r="I19" s="142">
        <f t="shared" si="3"/>
        <v>0</v>
      </c>
      <c r="J19" s="112">
        <f t="shared" si="4"/>
        <v>2203.5716416904684</v>
      </c>
      <c r="K19" s="113"/>
      <c r="L19" s="135">
        <f t="shared" si="5"/>
        <v>2203.5716416904684</v>
      </c>
      <c r="M19" s="101">
        <f t="shared" si="6"/>
        <v>3.3023788181020995E-2</v>
      </c>
    </row>
    <row r="20" spans="1:13" ht="37.5" customHeight="1" x14ac:dyDescent="0.15">
      <c r="A20" s="114" t="s">
        <v>5</v>
      </c>
      <c r="B20" s="115" t="s">
        <v>17</v>
      </c>
      <c r="C20" s="116" t="s">
        <v>47</v>
      </c>
      <c r="D20" s="140">
        <v>184</v>
      </c>
      <c r="E20" s="97">
        <f t="shared" si="1"/>
        <v>1.6422706176365584E-2</v>
      </c>
      <c r="F20" s="98">
        <f t="shared" si="0"/>
        <v>1095.8302218136382</v>
      </c>
      <c r="G20" s="99">
        <f t="shared" si="2"/>
        <v>1095.8302218136382</v>
      </c>
      <c r="H20" s="100"/>
      <c r="I20" s="142">
        <f t="shared" si="3"/>
        <v>0</v>
      </c>
      <c r="J20" s="112">
        <f t="shared" si="4"/>
        <v>1095.8302218136382</v>
      </c>
      <c r="K20" s="113"/>
      <c r="L20" s="135">
        <f t="shared" si="5"/>
        <v>1095.8302218136382</v>
      </c>
      <c r="M20" s="101">
        <f t="shared" si="6"/>
        <v>1.6422640608940171E-2</v>
      </c>
    </row>
    <row r="21" spans="1:13" ht="37.5" customHeight="1" x14ac:dyDescent="0.15">
      <c r="A21" s="114" t="s">
        <v>5</v>
      </c>
      <c r="B21" s="115" t="s">
        <v>17</v>
      </c>
      <c r="C21" s="116" t="s">
        <v>45</v>
      </c>
      <c r="D21" s="140">
        <v>290</v>
      </c>
      <c r="E21" s="97">
        <f t="shared" si="1"/>
        <v>2.5883612995358799E-2</v>
      </c>
      <c r="F21" s="98">
        <f t="shared" si="0"/>
        <v>1727.1237191627993</v>
      </c>
      <c r="G21" s="99">
        <f t="shared" si="2"/>
        <v>1727.1237191627993</v>
      </c>
      <c r="H21" s="100"/>
      <c r="I21" s="142">
        <f t="shared" si="3"/>
        <v>0</v>
      </c>
      <c r="J21" s="112">
        <f t="shared" si="4"/>
        <v>1727.1237191627993</v>
      </c>
      <c r="K21" s="113"/>
      <c r="L21" s="135">
        <f t="shared" si="5"/>
        <v>1727.1237191627993</v>
      </c>
      <c r="M21" s="101">
        <f t="shared" si="6"/>
        <v>2.5883509655394831E-2</v>
      </c>
    </row>
    <row r="22" spans="1:13" ht="37.5" customHeight="1" x14ac:dyDescent="0.15">
      <c r="A22" s="114" t="s">
        <v>5</v>
      </c>
      <c r="B22" s="115" t="s">
        <v>17</v>
      </c>
      <c r="C22" s="116" t="s">
        <v>48</v>
      </c>
      <c r="D22" s="140">
        <v>100</v>
      </c>
      <c r="E22" s="97">
        <f t="shared" si="1"/>
        <v>8.9253837915030353E-3</v>
      </c>
      <c r="F22" s="98">
        <f t="shared" si="0"/>
        <v>595.55990315958604</v>
      </c>
      <c r="G22" s="99">
        <f t="shared" si="2"/>
        <v>595.55990315958604</v>
      </c>
      <c r="H22" s="100"/>
      <c r="I22" s="142">
        <f t="shared" si="3"/>
        <v>0</v>
      </c>
      <c r="J22" s="112">
        <f t="shared" si="4"/>
        <v>595.55990315958604</v>
      </c>
      <c r="K22" s="113"/>
      <c r="L22" s="135">
        <f t="shared" si="5"/>
        <v>595.55990315958604</v>
      </c>
      <c r="M22" s="101">
        <f t="shared" si="6"/>
        <v>8.9253481570327024E-3</v>
      </c>
    </row>
    <row r="23" spans="1:13" ht="37.5" customHeight="1" x14ac:dyDescent="0.15">
      <c r="A23" s="114" t="s">
        <v>5</v>
      </c>
      <c r="B23" s="115" t="s">
        <v>17</v>
      </c>
      <c r="C23" s="116" t="s">
        <v>49</v>
      </c>
      <c r="D23" s="140">
        <v>97</v>
      </c>
      <c r="E23" s="97">
        <f t="shared" si="1"/>
        <v>8.6576222777579436E-3</v>
      </c>
      <c r="F23" s="98">
        <f t="shared" si="0"/>
        <v>577.69310606479837</v>
      </c>
      <c r="G23" s="99">
        <f t="shared" si="2"/>
        <v>577.69310606479837</v>
      </c>
      <c r="H23" s="100"/>
      <c r="I23" s="142">
        <f t="shared" si="3"/>
        <v>0</v>
      </c>
      <c r="J23" s="112">
        <f t="shared" si="4"/>
        <v>577.69310606479837</v>
      </c>
      <c r="K23" s="113"/>
      <c r="L23" s="135">
        <f t="shared" si="5"/>
        <v>577.69310606479837</v>
      </c>
      <c r="M23" s="101">
        <f t="shared" si="6"/>
        <v>8.6575877123217185E-3</v>
      </c>
    </row>
    <row r="24" spans="1:13" ht="37.5" customHeight="1" x14ac:dyDescent="0.15">
      <c r="A24" s="114" t="s">
        <v>5</v>
      </c>
      <c r="B24" s="115" t="s">
        <v>17</v>
      </c>
      <c r="C24" s="116" t="s">
        <v>50</v>
      </c>
      <c r="D24" s="140">
        <v>50</v>
      </c>
      <c r="E24" s="97">
        <f t="shared" si="1"/>
        <v>4.4626918957515176E-3</v>
      </c>
      <c r="F24" s="98">
        <f t="shared" si="0"/>
        <v>297.77995157979302</v>
      </c>
      <c r="G24" s="99">
        <f t="shared" si="2"/>
        <v>297.77995157979302</v>
      </c>
      <c r="H24" s="100"/>
      <c r="I24" s="142">
        <f t="shared" si="3"/>
        <v>0</v>
      </c>
      <c r="J24" s="112">
        <f t="shared" si="4"/>
        <v>297.77995157979302</v>
      </c>
      <c r="K24" s="113"/>
      <c r="L24" s="135">
        <f t="shared" si="5"/>
        <v>297.77995157979302</v>
      </c>
      <c r="M24" s="101">
        <f t="shared" si="6"/>
        <v>4.4626740785163512E-3</v>
      </c>
    </row>
    <row r="25" spans="1:13" ht="37.5" customHeight="1" x14ac:dyDescent="0.15">
      <c r="A25" s="114" t="s">
        <v>32</v>
      </c>
      <c r="B25" s="115" t="s">
        <v>17</v>
      </c>
      <c r="C25" s="116" t="s">
        <v>33</v>
      </c>
      <c r="D25" s="140">
        <v>212</v>
      </c>
      <c r="E25" s="97">
        <f t="shared" si="1"/>
        <v>1.8921813637986434E-2</v>
      </c>
      <c r="F25" s="98">
        <f t="shared" si="0"/>
        <v>1262.5869946983223</v>
      </c>
      <c r="G25" s="99">
        <f t="shared" si="2"/>
        <v>1262.5869946983223</v>
      </c>
      <c r="H25" s="100"/>
      <c r="I25" s="142">
        <f t="shared" si="3"/>
        <v>0</v>
      </c>
      <c r="J25" s="112">
        <f t="shared" si="4"/>
        <v>1262.5869946983223</v>
      </c>
      <c r="K25" s="113"/>
      <c r="L25" s="135">
        <f t="shared" si="5"/>
        <v>1262.5869946983223</v>
      </c>
      <c r="M25" s="101">
        <f t="shared" si="6"/>
        <v>1.8921738092909327E-2</v>
      </c>
    </row>
    <row r="26" spans="1:13" ht="37.5" customHeight="1" x14ac:dyDescent="0.15">
      <c r="A26" s="114" t="s">
        <v>32</v>
      </c>
      <c r="B26" s="115" t="s">
        <v>17</v>
      </c>
      <c r="C26" s="116" t="s">
        <v>34</v>
      </c>
      <c r="D26" s="140">
        <v>374</v>
      </c>
      <c r="E26" s="97">
        <f t="shared" si="1"/>
        <v>3.3380935380221348E-2</v>
      </c>
      <c r="F26" s="98">
        <f t="shared" si="0"/>
        <v>2227.3940378168513</v>
      </c>
      <c r="G26" s="99">
        <f t="shared" si="2"/>
        <v>2227.3940378168513</v>
      </c>
      <c r="H26" s="100"/>
      <c r="I26" s="142">
        <f t="shared" si="3"/>
        <v>0</v>
      </c>
      <c r="J26" s="112">
        <f t="shared" si="4"/>
        <v>2227.3940378168513</v>
      </c>
      <c r="K26" s="113"/>
      <c r="L26" s="135">
        <f t="shared" si="5"/>
        <v>2227.3940378168513</v>
      </c>
      <c r="M26" s="101">
        <f t="shared" si="6"/>
        <v>3.33808021073023E-2</v>
      </c>
    </row>
    <row r="27" spans="1:13" ht="37.5" customHeight="1" x14ac:dyDescent="0.15">
      <c r="A27" s="114" t="s">
        <v>5</v>
      </c>
      <c r="B27" s="115" t="s">
        <v>0</v>
      </c>
      <c r="C27" s="116" t="s">
        <v>40</v>
      </c>
      <c r="D27" s="140">
        <v>0</v>
      </c>
      <c r="E27" s="97">
        <f t="shared" si="1"/>
        <v>0</v>
      </c>
      <c r="F27" s="98">
        <f t="shared" si="0"/>
        <v>0</v>
      </c>
      <c r="G27" s="99">
        <f t="shared" si="2"/>
        <v>0</v>
      </c>
      <c r="H27" s="102">
        <f>Equipamientos!$AW$3</f>
        <v>0</v>
      </c>
      <c r="I27" s="142">
        <f t="shared" si="3"/>
        <v>0</v>
      </c>
      <c r="J27" s="112">
        <f t="shared" si="4"/>
        <v>0</v>
      </c>
      <c r="K27" s="113"/>
      <c r="L27" s="135">
        <f t="shared" si="5"/>
        <v>0</v>
      </c>
      <c r="M27" s="101">
        <f t="shared" si="6"/>
        <v>0</v>
      </c>
    </row>
    <row r="28" spans="1:13" ht="37.5" customHeight="1" x14ac:dyDescent="0.15">
      <c r="A28" s="114" t="s">
        <v>5</v>
      </c>
      <c r="B28" s="115" t="s">
        <v>0</v>
      </c>
      <c r="C28" s="116" t="s">
        <v>23</v>
      </c>
      <c r="D28" s="140">
        <v>338</v>
      </c>
      <c r="E28" s="97">
        <f t="shared" si="1"/>
        <v>3.0167797215280259E-2</v>
      </c>
      <c r="F28" s="98">
        <f t="shared" si="0"/>
        <v>2012.9924726794006</v>
      </c>
      <c r="G28" s="99">
        <f t="shared" si="2"/>
        <v>2012.9924726794006</v>
      </c>
      <c r="H28" s="100"/>
      <c r="I28" s="142">
        <f t="shared" si="3"/>
        <v>0</v>
      </c>
      <c r="J28" s="112">
        <f t="shared" si="4"/>
        <v>2012.9924726794006</v>
      </c>
      <c r="K28" s="113"/>
      <c r="L28" s="135">
        <f t="shared" si="5"/>
        <v>2012.9924726794006</v>
      </c>
      <c r="M28" s="101">
        <f t="shared" si="6"/>
        <v>3.0167676770770528E-2</v>
      </c>
    </row>
    <row r="29" spans="1:13" ht="37.5" customHeight="1" x14ac:dyDescent="0.15">
      <c r="A29" s="114" t="s">
        <v>5</v>
      </c>
      <c r="B29" s="115" t="s">
        <v>0</v>
      </c>
      <c r="C29" s="116" t="s">
        <v>26</v>
      </c>
      <c r="D29" s="140">
        <v>352</v>
      </c>
      <c r="E29" s="97">
        <f t="shared" si="1"/>
        <v>3.1417350946090682E-2</v>
      </c>
      <c r="F29" s="98">
        <f t="shared" si="0"/>
        <v>2096.3708591217428</v>
      </c>
      <c r="G29" s="99">
        <f t="shared" si="2"/>
        <v>2096.3708591217428</v>
      </c>
      <c r="H29" s="102"/>
      <c r="I29" s="142">
        <f t="shared" si="3"/>
        <v>0</v>
      </c>
      <c r="J29" s="112">
        <f t="shared" si="4"/>
        <v>2096.3708591217428</v>
      </c>
      <c r="K29" s="113"/>
      <c r="L29" s="135">
        <f t="shared" si="5"/>
        <v>2096.3708591217428</v>
      </c>
      <c r="M29" s="101">
        <f t="shared" si="6"/>
        <v>3.1417225512755109E-2</v>
      </c>
    </row>
    <row r="30" spans="1:13" ht="37.5" customHeight="1" x14ac:dyDescent="0.15">
      <c r="A30" s="114" t="s">
        <v>5</v>
      </c>
      <c r="B30" s="115" t="s">
        <v>0</v>
      </c>
      <c r="C30" s="116" t="s">
        <v>31</v>
      </c>
      <c r="D30" s="140">
        <v>577</v>
      </c>
      <c r="E30" s="97">
        <f t="shared" si="1"/>
        <v>5.1499464476972512E-2</v>
      </c>
      <c r="F30" s="98">
        <f t="shared" si="0"/>
        <v>3436.3806412308113</v>
      </c>
      <c r="G30" s="99">
        <f t="shared" si="2"/>
        <v>3436.3806412308113</v>
      </c>
      <c r="H30" s="102"/>
      <c r="I30" s="142">
        <f t="shared" si="3"/>
        <v>0</v>
      </c>
      <c r="J30" s="112">
        <f t="shared" si="4"/>
        <v>3436.3806412308113</v>
      </c>
      <c r="K30" s="113"/>
      <c r="L30" s="135">
        <f t="shared" si="5"/>
        <v>3436.3806412308113</v>
      </c>
      <c r="M30" s="101">
        <f t="shared" si="6"/>
        <v>5.1499258866078687E-2</v>
      </c>
    </row>
    <row r="31" spans="1:13" ht="37.5" customHeight="1" x14ac:dyDescent="0.15">
      <c r="A31" s="114" t="s">
        <v>5</v>
      </c>
      <c r="B31" s="115" t="s">
        <v>0</v>
      </c>
      <c r="C31" s="116" t="s">
        <v>37</v>
      </c>
      <c r="D31" s="140">
        <v>0</v>
      </c>
      <c r="E31" s="97">
        <f t="shared" si="1"/>
        <v>0</v>
      </c>
      <c r="F31" s="98">
        <f t="shared" si="0"/>
        <v>0</v>
      </c>
      <c r="G31" s="99">
        <f t="shared" si="2"/>
        <v>0</v>
      </c>
      <c r="H31" s="102">
        <f>Equipamientos!$AW$10</f>
        <v>0</v>
      </c>
      <c r="I31" s="142">
        <f t="shared" si="3"/>
        <v>0</v>
      </c>
      <c r="J31" s="112">
        <f t="shared" si="4"/>
        <v>0</v>
      </c>
      <c r="K31" s="113"/>
      <c r="L31" s="135">
        <f t="shared" si="5"/>
        <v>0</v>
      </c>
      <c r="M31" s="101">
        <f t="shared" si="6"/>
        <v>0</v>
      </c>
    </row>
    <row r="32" spans="1:13" ht="37.5" customHeight="1" x14ac:dyDescent="0.15">
      <c r="A32" s="114" t="s">
        <v>5</v>
      </c>
      <c r="B32" s="115" t="s">
        <v>0</v>
      </c>
      <c r="C32" s="116" t="s">
        <v>38</v>
      </c>
      <c r="D32" s="140">
        <v>0</v>
      </c>
      <c r="E32" s="97">
        <f t="shared" si="1"/>
        <v>0</v>
      </c>
      <c r="F32" s="98">
        <f t="shared" si="0"/>
        <v>0</v>
      </c>
      <c r="G32" s="99">
        <f t="shared" si="2"/>
        <v>0</v>
      </c>
      <c r="H32" s="102">
        <f>Equipamientos!$AW$14</f>
        <v>203.50310400000001</v>
      </c>
      <c r="I32" s="142">
        <f t="shared" si="3"/>
        <v>0</v>
      </c>
      <c r="J32" s="112">
        <f t="shared" si="4"/>
        <v>0</v>
      </c>
      <c r="K32" s="113"/>
      <c r="L32" s="135">
        <f t="shared" si="5"/>
        <v>0</v>
      </c>
      <c r="M32" s="101">
        <f t="shared" si="6"/>
        <v>0</v>
      </c>
    </row>
    <row r="33" spans="1:13" ht="37.5" customHeight="1" x14ac:dyDescent="0.15">
      <c r="A33" s="114" t="s">
        <v>5</v>
      </c>
      <c r="B33" s="115" t="s">
        <v>0</v>
      </c>
      <c r="C33" s="116" t="s">
        <v>39</v>
      </c>
      <c r="D33" s="140">
        <v>0</v>
      </c>
      <c r="E33" s="97">
        <f t="shared" si="1"/>
        <v>0</v>
      </c>
      <c r="F33" s="98">
        <f t="shared" si="0"/>
        <v>0</v>
      </c>
      <c r="G33" s="99">
        <f t="shared" si="2"/>
        <v>0</v>
      </c>
      <c r="H33" s="102">
        <f>Equipamientos!$AW$15</f>
        <v>0</v>
      </c>
      <c r="I33" s="142">
        <f t="shared" si="3"/>
        <v>0</v>
      </c>
      <c r="J33" s="112">
        <f t="shared" si="4"/>
        <v>0</v>
      </c>
      <c r="K33" s="113"/>
      <c r="L33" s="135">
        <f t="shared" si="5"/>
        <v>0</v>
      </c>
      <c r="M33" s="101">
        <f t="shared" si="6"/>
        <v>0</v>
      </c>
    </row>
    <row r="34" spans="1:13" ht="37.5" customHeight="1" x14ac:dyDescent="0.15">
      <c r="A34" s="114" t="s">
        <v>5</v>
      </c>
      <c r="B34" s="115" t="s">
        <v>0</v>
      </c>
      <c r="C34" s="116" t="s">
        <v>80</v>
      </c>
      <c r="D34" s="140">
        <v>0</v>
      </c>
      <c r="E34" s="97">
        <f t="shared" si="1"/>
        <v>0</v>
      </c>
      <c r="F34" s="98">
        <f t="shared" si="0"/>
        <v>0</v>
      </c>
      <c r="G34" s="99">
        <f t="shared" si="2"/>
        <v>0</v>
      </c>
      <c r="H34" s="102">
        <f>Equipamientos!$AW$16</f>
        <v>0</v>
      </c>
      <c r="I34" s="142">
        <f t="shared" si="3"/>
        <v>0</v>
      </c>
      <c r="J34" s="112">
        <f t="shared" si="4"/>
        <v>0</v>
      </c>
      <c r="K34" s="113"/>
      <c r="L34" s="135">
        <f t="shared" si="5"/>
        <v>0</v>
      </c>
      <c r="M34" s="101">
        <f t="shared" si="6"/>
        <v>0</v>
      </c>
    </row>
    <row r="35" spans="1:13" ht="37.5" customHeight="1" x14ac:dyDescent="0.15">
      <c r="A35" s="114" t="s">
        <v>5</v>
      </c>
      <c r="B35" s="115" t="s">
        <v>0</v>
      </c>
      <c r="C35" s="116" t="s">
        <v>22</v>
      </c>
      <c r="D35" s="140">
        <v>199</v>
      </c>
      <c r="E35" s="97">
        <f t="shared" si="1"/>
        <v>1.7761513745091041E-2</v>
      </c>
      <c r="F35" s="98">
        <f t="shared" si="0"/>
        <v>1185.1642072875761</v>
      </c>
      <c r="G35" s="99">
        <f t="shared" si="2"/>
        <v>1185.1642072875761</v>
      </c>
      <c r="H35" s="102"/>
      <c r="I35" s="142">
        <f t="shared" si="3"/>
        <v>0</v>
      </c>
      <c r="J35" s="112">
        <f t="shared" si="4"/>
        <v>1185.1642072875761</v>
      </c>
      <c r="K35" s="113"/>
      <c r="L35" s="135">
        <f t="shared" si="5"/>
        <v>1185.1642072875761</v>
      </c>
      <c r="M35" s="101">
        <f t="shared" si="6"/>
        <v>1.7761442832495075E-2</v>
      </c>
    </row>
    <row r="36" spans="1:13" ht="37.5" customHeight="1" x14ac:dyDescent="0.15">
      <c r="A36" s="117" t="s">
        <v>5</v>
      </c>
      <c r="B36" s="115" t="s">
        <v>0</v>
      </c>
      <c r="C36" s="116" t="s">
        <v>41</v>
      </c>
      <c r="D36" s="140">
        <v>65</v>
      </c>
      <c r="E36" s="97">
        <f t="shared" si="1"/>
        <v>5.8014994644769724E-3</v>
      </c>
      <c r="F36" s="98">
        <f t="shared" si="0"/>
        <v>387.11393705373087</v>
      </c>
      <c r="G36" s="99">
        <f t="shared" si="2"/>
        <v>387.11393705373087</v>
      </c>
      <c r="H36" s="100"/>
      <c r="I36" s="142">
        <f t="shared" si="3"/>
        <v>0</v>
      </c>
      <c r="J36" s="112">
        <f t="shared" si="4"/>
        <v>387.11393705373087</v>
      </c>
      <c r="K36" s="113"/>
      <c r="L36" s="135">
        <f t="shared" si="5"/>
        <v>387.11393705373087</v>
      </c>
      <c r="M36" s="101">
        <f t="shared" si="6"/>
        <v>5.801476302071255E-3</v>
      </c>
    </row>
    <row r="37" spans="1:13" ht="37.5" customHeight="1" x14ac:dyDescent="0.15">
      <c r="A37" s="117" t="s">
        <v>5</v>
      </c>
      <c r="B37" s="115" t="s">
        <v>0</v>
      </c>
      <c r="C37" s="116" t="s">
        <v>42</v>
      </c>
      <c r="D37" s="140">
        <v>282</v>
      </c>
      <c r="E37" s="97">
        <f t="shared" ref="E37:E53" si="7">D37/$D$54</f>
        <v>2.5169582292038559E-2</v>
      </c>
      <c r="F37" s="98">
        <f t="shared" ref="F37:F53" si="8">$C$63*E37</f>
        <v>1679.4789269100327</v>
      </c>
      <c r="G37" s="99">
        <f t="shared" si="2"/>
        <v>1679.4789269100327</v>
      </c>
      <c r="H37" s="100"/>
      <c r="I37" s="142">
        <f t="shared" si="3"/>
        <v>0</v>
      </c>
      <c r="J37" s="112">
        <f t="shared" ref="J37:J53" si="9">G37-I37</f>
        <v>1679.4789269100327</v>
      </c>
      <c r="K37" s="113">
        <v>10.8</v>
      </c>
      <c r="L37" s="135">
        <f t="shared" si="5"/>
        <v>1690.2789269100326</v>
      </c>
      <c r="M37" s="101">
        <f t="shared" si="6"/>
        <v>2.5331335815475718E-2</v>
      </c>
    </row>
    <row r="38" spans="1:13" ht="37.5" customHeight="1" x14ac:dyDescent="0.15">
      <c r="A38" s="117" t="s">
        <v>5</v>
      </c>
      <c r="B38" s="115" t="s">
        <v>0</v>
      </c>
      <c r="C38" s="116" t="s">
        <v>43</v>
      </c>
      <c r="D38" s="140">
        <v>990</v>
      </c>
      <c r="E38" s="97">
        <f t="shared" si="7"/>
        <v>8.8361299535880039E-2</v>
      </c>
      <c r="F38" s="98">
        <f t="shared" si="8"/>
        <v>5896.0430412799014</v>
      </c>
      <c r="G38" s="99">
        <f t="shared" si="2"/>
        <v>5896.0430412799014</v>
      </c>
      <c r="H38" s="100"/>
      <c r="I38" s="142">
        <f t="shared" si="3"/>
        <v>0</v>
      </c>
      <c r="J38" s="112">
        <f t="shared" si="9"/>
        <v>5896.0430412799014</v>
      </c>
      <c r="K38" s="113">
        <v>12.6</v>
      </c>
      <c r="L38" s="135">
        <f t="shared" si="5"/>
        <v>5908.6430412799018</v>
      </c>
      <c r="M38" s="101">
        <f t="shared" si="6"/>
        <v>8.8549776436041158E-2</v>
      </c>
    </row>
    <row r="39" spans="1:13" ht="37.5" customHeight="1" x14ac:dyDescent="0.15">
      <c r="A39" s="117" t="s">
        <v>5</v>
      </c>
      <c r="B39" s="115" t="s">
        <v>0</v>
      </c>
      <c r="C39" s="116" t="s">
        <v>44</v>
      </c>
      <c r="D39" s="140">
        <v>0</v>
      </c>
      <c r="E39" s="97">
        <f t="shared" si="7"/>
        <v>0</v>
      </c>
      <c r="F39" s="98">
        <f t="shared" si="8"/>
        <v>0</v>
      </c>
      <c r="G39" s="99">
        <f t="shared" si="2"/>
        <v>0</v>
      </c>
      <c r="H39" s="100"/>
      <c r="I39" s="142">
        <f t="shared" si="3"/>
        <v>0</v>
      </c>
      <c r="J39" s="112">
        <f t="shared" si="9"/>
        <v>0</v>
      </c>
      <c r="K39" s="113"/>
      <c r="L39" s="135">
        <f t="shared" si="5"/>
        <v>0</v>
      </c>
      <c r="M39" s="101">
        <f t="shared" si="6"/>
        <v>0</v>
      </c>
    </row>
    <row r="40" spans="1:13" ht="37.5" customHeight="1" x14ac:dyDescent="0.15">
      <c r="A40" s="114" t="s">
        <v>5</v>
      </c>
      <c r="B40" s="115" t="s">
        <v>6</v>
      </c>
      <c r="C40" s="116" t="s">
        <v>7</v>
      </c>
      <c r="D40" s="140">
        <v>286</v>
      </c>
      <c r="E40" s="97">
        <f t="shared" si="7"/>
        <v>2.5526597643698679E-2</v>
      </c>
      <c r="F40" s="98">
        <f t="shared" si="8"/>
        <v>1703.3013230364159</v>
      </c>
      <c r="G40" s="99">
        <f t="shared" si="2"/>
        <v>1703.3013230364159</v>
      </c>
      <c r="H40" s="100"/>
      <c r="I40" s="142">
        <f t="shared" si="3"/>
        <v>0</v>
      </c>
      <c r="J40" s="112">
        <f t="shared" si="9"/>
        <v>1703.3013230364159</v>
      </c>
      <c r="K40" s="113"/>
      <c r="L40" s="135">
        <f t="shared" si="5"/>
        <v>1703.3013230364159</v>
      </c>
      <c r="M40" s="101">
        <f t="shared" si="6"/>
        <v>2.5526495729113523E-2</v>
      </c>
    </row>
    <row r="41" spans="1:13" ht="37.5" customHeight="1" x14ac:dyDescent="0.15">
      <c r="A41" s="114" t="s">
        <v>5</v>
      </c>
      <c r="B41" s="115" t="s">
        <v>6</v>
      </c>
      <c r="C41" s="116" t="s">
        <v>8</v>
      </c>
      <c r="D41" s="140">
        <v>0</v>
      </c>
      <c r="E41" s="97">
        <f t="shared" si="7"/>
        <v>0</v>
      </c>
      <c r="F41" s="98">
        <f t="shared" si="8"/>
        <v>0</v>
      </c>
      <c r="G41" s="99">
        <f t="shared" si="2"/>
        <v>0</v>
      </c>
      <c r="H41" s="100"/>
      <c r="I41" s="142">
        <f t="shared" si="3"/>
        <v>0</v>
      </c>
      <c r="J41" s="112">
        <f t="shared" si="9"/>
        <v>0</v>
      </c>
      <c r="K41" s="113"/>
      <c r="L41" s="135">
        <f t="shared" si="5"/>
        <v>0</v>
      </c>
      <c r="M41" s="101">
        <f t="shared" si="6"/>
        <v>0</v>
      </c>
    </row>
    <row r="42" spans="1:13" ht="37.5" customHeight="1" x14ac:dyDescent="0.15">
      <c r="A42" s="114" t="s">
        <v>5</v>
      </c>
      <c r="B42" s="115" t="s">
        <v>6</v>
      </c>
      <c r="C42" s="116" t="s">
        <v>9</v>
      </c>
      <c r="D42" s="140">
        <v>39</v>
      </c>
      <c r="E42" s="97">
        <f t="shared" si="7"/>
        <v>3.4808996786861836E-3</v>
      </c>
      <c r="F42" s="98">
        <f t="shared" si="8"/>
        <v>232.26836223223853</v>
      </c>
      <c r="G42" s="99">
        <f t="shared" si="2"/>
        <v>232.26836223223853</v>
      </c>
      <c r="H42" s="102">
        <f>Equipamientos!$AW$18</f>
        <v>0</v>
      </c>
      <c r="I42" s="142">
        <f t="shared" si="3"/>
        <v>0</v>
      </c>
      <c r="J42" s="112">
        <f t="shared" si="9"/>
        <v>232.26836223223853</v>
      </c>
      <c r="K42" s="113"/>
      <c r="L42" s="135">
        <f t="shared" si="5"/>
        <v>232.26836223223853</v>
      </c>
      <c r="M42" s="101">
        <f t="shared" si="6"/>
        <v>3.4808857812427532E-3</v>
      </c>
    </row>
    <row r="43" spans="1:13" ht="37.5" customHeight="1" x14ac:dyDescent="0.15">
      <c r="A43" s="114" t="s">
        <v>5</v>
      </c>
      <c r="B43" s="115" t="s">
        <v>6</v>
      </c>
      <c r="C43" s="116" t="s">
        <v>10</v>
      </c>
      <c r="D43" s="140">
        <v>6</v>
      </c>
      <c r="E43" s="97">
        <f t="shared" si="7"/>
        <v>5.355230274901821E-4</v>
      </c>
      <c r="F43" s="98">
        <f t="shared" si="8"/>
        <v>35.733594189575165</v>
      </c>
      <c r="G43" s="99">
        <f t="shared" si="2"/>
        <v>0</v>
      </c>
      <c r="H43" s="100"/>
      <c r="I43" s="142">
        <f t="shared" si="3"/>
        <v>0</v>
      </c>
      <c r="J43" s="112">
        <f t="shared" si="9"/>
        <v>0</v>
      </c>
      <c r="K43" s="113"/>
      <c r="L43" s="135">
        <f t="shared" si="5"/>
        <v>0</v>
      </c>
      <c r="M43" s="101">
        <f t="shared" si="6"/>
        <v>0</v>
      </c>
    </row>
    <row r="44" spans="1:13" ht="37.5" customHeight="1" x14ac:dyDescent="0.15">
      <c r="A44" s="114" t="s">
        <v>5</v>
      </c>
      <c r="B44" s="115" t="s">
        <v>6</v>
      </c>
      <c r="C44" s="116" t="s">
        <v>11</v>
      </c>
      <c r="D44" s="140">
        <v>116</v>
      </c>
      <c r="E44" s="97">
        <f t="shared" si="7"/>
        <v>1.035344519814352E-2</v>
      </c>
      <c r="F44" s="98">
        <f t="shared" si="8"/>
        <v>690.84948766511968</v>
      </c>
      <c r="G44" s="99">
        <f t="shared" si="2"/>
        <v>690.84948766511968</v>
      </c>
      <c r="H44" s="100"/>
      <c r="I44" s="142">
        <f t="shared" si="3"/>
        <v>0</v>
      </c>
      <c r="J44" s="112">
        <f t="shared" si="9"/>
        <v>690.84948766511968</v>
      </c>
      <c r="K44" s="113"/>
      <c r="L44" s="135">
        <f t="shared" si="5"/>
        <v>690.84948766511968</v>
      </c>
      <c r="M44" s="101">
        <f t="shared" si="6"/>
        <v>1.0353403862157932E-2</v>
      </c>
    </row>
    <row r="45" spans="1:13" ht="37.5" customHeight="1" x14ac:dyDescent="0.15">
      <c r="A45" s="114" t="s">
        <v>5</v>
      </c>
      <c r="B45" s="115" t="s">
        <v>6</v>
      </c>
      <c r="C45" s="116" t="s">
        <v>12</v>
      </c>
      <c r="D45" s="140">
        <v>67</v>
      </c>
      <c r="E45" s="97">
        <f t="shared" si="7"/>
        <v>5.9800071403070332E-3</v>
      </c>
      <c r="F45" s="98">
        <f t="shared" si="8"/>
        <v>399.02513511692263</v>
      </c>
      <c r="G45" s="99">
        <f t="shared" si="2"/>
        <v>399.02513511692263</v>
      </c>
      <c r="H45" s="100"/>
      <c r="I45" s="142">
        <f t="shared" si="3"/>
        <v>0</v>
      </c>
      <c r="J45" s="112">
        <f t="shared" si="9"/>
        <v>399.02513511692263</v>
      </c>
      <c r="K45" s="113"/>
      <c r="L45" s="135">
        <f t="shared" si="5"/>
        <v>399.02513511692263</v>
      </c>
      <c r="M45" s="101">
        <f t="shared" si="6"/>
        <v>5.9799832652119101E-3</v>
      </c>
    </row>
    <row r="46" spans="1:13" ht="37.5" customHeight="1" x14ac:dyDescent="0.15">
      <c r="A46" s="114" t="s">
        <v>5</v>
      </c>
      <c r="B46" s="115" t="s">
        <v>6</v>
      </c>
      <c r="C46" s="116" t="s">
        <v>13</v>
      </c>
      <c r="D46" s="140">
        <v>38</v>
      </c>
      <c r="E46" s="97">
        <f t="shared" si="7"/>
        <v>3.3916458407711532E-3</v>
      </c>
      <c r="F46" s="98">
        <f t="shared" si="8"/>
        <v>226.31276320064268</v>
      </c>
      <c r="G46" s="99">
        <f t="shared" si="2"/>
        <v>226.31276320064268</v>
      </c>
      <c r="H46" s="100"/>
      <c r="I46" s="142">
        <f t="shared" si="3"/>
        <v>0</v>
      </c>
      <c r="J46" s="112">
        <f t="shared" si="9"/>
        <v>226.31276320064268</v>
      </c>
      <c r="K46" s="113">
        <v>12.6</v>
      </c>
      <c r="L46" s="135">
        <f t="shared" si="5"/>
        <v>238.91276320064267</v>
      </c>
      <c r="M46" s="101">
        <f t="shared" si="6"/>
        <v>3.5804619810898427E-3</v>
      </c>
    </row>
    <row r="47" spans="1:13" ht="37.5" customHeight="1" x14ac:dyDescent="0.15">
      <c r="A47" s="114" t="s">
        <v>5</v>
      </c>
      <c r="B47" s="115" t="s">
        <v>6</v>
      </c>
      <c r="C47" s="116" t="s">
        <v>14</v>
      </c>
      <c r="D47" s="140">
        <v>67</v>
      </c>
      <c r="E47" s="97">
        <f t="shared" si="7"/>
        <v>5.9800071403070332E-3</v>
      </c>
      <c r="F47" s="98">
        <f t="shared" si="8"/>
        <v>399.02513511692263</v>
      </c>
      <c r="G47" s="99">
        <f t="shared" si="2"/>
        <v>399.02513511692263</v>
      </c>
      <c r="H47" s="100"/>
      <c r="I47" s="142">
        <f t="shared" si="3"/>
        <v>0</v>
      </c>
      <c r="J47" s="112">
        <f t="shared" si="9"/>
        <v>399.02513511692263</v>
      </c>
      <c r="K47" s="113"/>
      <c r="L47" s="135">
        <f t="shared" si="5"/>
        <v>399.02513511692263</v>
      </c>
      <c r="M47" s="101">
        <f t="shared" si="6"/>
        <v>5.9799832652119101E-3</v>
      </c>
    </row>
    <row r="48" spans="1:13" ht="37.5" customHeight="1" x14ac:dyDescent="0.15">
      <c r="A48" s="114" t="s">
        <v>5</v>
      </c>
      <c r="B48" s="115" t="s">
        <v>6</v>
      </c>
      <c r="C48" s="116" t="s">
        <v>35</v>
      </c>
      <c r="D48" s="140">
        <v>121</v>
      </c>
      <c r="E48" s="97">
        <f t="shared" si="7"/>
        <v>1.0799714387718672E-2</v>
      </c>
      <c r="F48" s="98">
        <f t="shared" si="8"/>
        <v>720.62748282309906</v>
      </c>
      <c r="G48" s="99">
        <f t="shared" si="2"/>
        <v>720.62748282309906</v>
      </c>
      <c r="H48" s="100"/>
      <c r="I48" s="142">
        <f t="shared" si="3"/>
        <v>0</v>
      </c>
      <c r="J48" s="112">
        <f t="shared" si="9"/>
        <v>720.62748282309906</v>
      </c>
      <c r="K48" s="113"/>
      <c r="L48" s="135">
        <f t="shared" si="5"/>
        <v>720.62748282309906</v>
      </c>
      <c r="M48" s="101">
        <f t="shared" si="6"/>
        <v>1.0799671270009569E-2</v>
      </c>
    </row>
    <row r="49" spans="1:13" ht="37.5" customHeight="1" x14ac:dyDescent="0.15">
      <c r="A49" s="114" t="s">
        <v>5</v>
      </c>
      <c r="B49" s="115" t="s">
        <v>81</v>
      </c>
      <c r="C49" s="116" t="s">
        <v>82</v>
      </c>
      <c r="D49" s="140">
        <v>657</v>
      </c>
      <c r="E49" s="97">
        <f t="shared" si="7"/>
        <v>5.8639771510174937E-2</v>
      </c>
      <c r="F49" s="98">
        <f t="shared" si="8"/>
        <v>3912.82856375848</v>
      </c>
      <c r="G49" s="99">
        <f t="shared" si="2"/>
        <v>3912.82856375848</v>
      </c>
      <c r="H49" s="100"/>
      <c r="I49" s="142">
        <f t="shared" si="3"/>
        <v>0</v>
      </c>
      <c r="J49" s="112">
        <f t="shared" si="9"/>
        <v>3912.82856375848</v>
      </c>
      <c r="K49" s="113"/>
      <c r="L49" s="135">
        <f t="shared" si="5"/>
        <v>3912.82856375848</v>
      </c>
      <c r="M49" s="101">
        <f t="shared" si="6"/>
        <v>5.8639537391704848E-2</v>
      </c>
    </row>
    <row r="50" spans="1:13" ht="37.5" customHeight="1" x14ac:dyDescent="0.15">
      <c r="A50" s="114" t="s">
        <v>5</v>
      </c>
      <c r="B50" s="115" t="s">
        <v>81</v>
      </c>
      <c r="C50" s="116" t="s">
        <v>86</v>
      </c>
      <c r="D50" s="140">
        <v>592</v>
      </c>
      <c r="E50" s="97">
        <f t="shared" si="7"/>
        <v>5.2838272045697965E-2</v>
      </c>
      <c r="F50" s="98">
        <f t="shared" si="8"/>
        <v>3525.7146267047492</v>
      </c>
      <c r="G50" s="99">
        <f t="shared" si="2"/>
        <v>3525.7146267047492</v>
      </c>
      <c r="H50" s="100"/>
      <c r="I50" s="142">
        <f t="shared" si="3"/>
        <v>0</v>
      </c>
      <c r="J50" s="112">
        <f t="shared" si="9"/>
        <v>3525.7146267047492</v>
      </c>
      <c r="K50" s="113"/>
      <c r="L50" s="135">
        <f t="shared" si="5"/>
        <v>3525.7146267047492</v>
      </c>
      <c r="M50" s="101">
        <f t="shared" si="6"/>
        <v>5.2838061089633591E-2</v>
      </c>
    </row>
    <row r="51" spans="1:13" ht="37.5" customHeight="1" x14ac:dyDescent="0.15">
      <c r="A51" s="114" t="s">
        <v>5</v>
      </c>
      <c r="B51" s="115" t="s">
        <v>81</v>
      </c>
      <c r="C51" s="116" t="s">
        <v>85</v>
      </c>
      <c r="D51" s="140">
        <v>902</v>
      </c>
      <c r="E51" s="97">
        <f t="shared" si="7"/>
        <v>8.0506961799357374E-2</v>
      </c>
      <c r="F51" s="98">
        <f t="shared" si="8"/>
        <v>5371.9503264994655</v>
      </c>
      <c r="G51" s="99">
        <f t="shared" si="2"/>
        <v>5371.9503264994655</v>
      </c>
      <c r="H51" s="100"/>
      <c r="I51" s="142">
        <f t="shared" si="3"/>
        <v>0</v>
      </c>
      <c r="J51" s="112">
        <f t="shared" si="9"/>
        <v>5371.9503264994655</v>
      </c>
      <c r="K51" s="113"/>
      <c r="L51" s="135">
        <f t="shared" si="5"/>
        <v>5371.9503264994655</v>
      </c>
      <c r="M51" s="101">
        <f t="shared" si="6"/>
        <v>8.0506640376434957E-2</v>
      </c>
    </row>
    <row r="52" spans="1:13" ht="37.5" customHeight="1" x14ac:dyDescent="0.15">
      <c r="A52" s="114" t="s">
        <v>5</v>
      </c>
      <c r="B52" s="115" t="s">
        <v>81</v>
      </c>
      <c r="C52" s="116" t="s">
        <v>83</v>
      </c>
      <c r="D52" s="140">
        <v>547</v>
      </c>
      <c r="E52" s="97">
        <f t="shared" si="7"/>
        <v>4.8821849339521599E-2</v>
      </c>
      <c r="F52" s="98">
        <f t="shared" si="8"/>
        <v>3257.7126702829355</v>
      </c>
      <c r="G52" s="99">
        <f t="shared" si="2"/>
        <v>3257.7126702829355</v>
      </c>
      <c r="H52" s="100"/>
      <c r="I52" s="142">
        <f t="shared" si="3"/>
        <v>0</v>
      </c>
      <c r="J52" s="112">
        <f t="shared" si="9"/>
        <v>3257.7126702829355</v>
      </c>
      <c r="K52" s="113"/>
      <c r="L52" s="135">
        <f t="shared" si="5"/>
        <v>3257.7126702829355</v>
      </c>
      <c r="M52" s="101">
        <f t="shared" si="6"/>
        <v>4.8821654418968879E-2</v>
      </c>
    </row>
    <row r="53" spans="1:13" ht="37.5" customHeight="1" x14ac:dyDescent="0.15">
      <c r="A53" s="114" t="s">
        <v>5</v>
      </c>
      <c r="B53" s="115" t="s">
        <v>81</v>
      </c>
      <c r="C53" s="116" t="s">
        <v>84</v>
      </c>
      <c r="D53" s="140">
        <v>1037</v>
      </c>
      <c r="E53" s="97">
        <f t="shared" si="7"/>
        <v>9.2556229917886465E-2</v>
      </c>
      <c r="F53" s="98">
        <f t="shared" si="8"/>
        <v>6175.9561957649066</v>
      </c>
      <c r="G53" s="99">
        <f t="shared" si="2"/>
        <v>6175.9561957649066</v>
      </c>
      <c r="H53" s="100"/>
      <c r="I53" s="142">
        <f t="shared" si="3"/>
        <v>0</v>
      </c>
      <c r="J53" s="112">
        <f t="shared" si="9"/>
        <v>6175.9561957649066</v>
      </c>
      <c r="K53" s="113"/>
      <c r="L53" s="135">
        <f t="shared" si="5"/>
        <v>6175.9561957649066</v>
      </c>
      <c r="M53" s="101">
        <f t="shared" si="6"/>
        <v>9.2555860388429112E-2</v>
      </c>
    </row>
    <row r="54" spans="1:13" ht="31.5" customHeight="1" thickBot="1" x14ac:dyDescent="0.2">
      <c r="A54" s="174" t="s">
        <v>51</v>
      </c>
      <c r="B54" s="175"/>
      <c r="C54" s="175"/>
      <c r="D54" s="103">
        <f>SUM(D5:D53)</f>
        <v>11204</v>
      </c>
      <c r="E54" s="104">
        <f>SUM(E5:E53)</f>
        <v>0.99999999999999978</v>
      </c>
      <c r="F54" s="105">
        <f>SUM(F5:F53)</f>
        <v>66726.53155</v>
      </c>
      <c r="G54" s="106">
        <f>SUM(G5:G53)</f>
        <v>66690.797955810427</v>
      </c>
      <c r="H54" s="107"/>
      <c r="I54" s="108">
        <f>SUM(I5:I53)</f>
        <v>0</v>
      </c>
      <c r="J54" s="109">
        <f>SUM(J5:J53)</f>
        <v>66690.797955810427</v>
      </c>
      <c r="K54" s="110">
        <f>SUM(K5:K53)</f>
        <v>36</v>
      </c>
      <c r="L54" s="106">
        <f>SUM(L5:L53)</f>
        <v>66726.797955810427</v>
      </c>
      <c r="M54" s="111">
        <f>SUM(M5:M53)</f>
        <v>1</v>
      </c>
    </row>
    <row r="55" spans="1:13" ht="31.5" customHeight="1" x14ac:dyDescent="0.15">
      <c r="A55" s="28"/>
      <c r="B55" s="28"/>
      <c r="C55" s="28"/>
      <c r="D55" s="28"/>
      <c r="E55" s="29"/>
      <c r="F55" s="29"/>
      <c r="G55" s="30"/>
      <c r="H55" s="30"/>
      <c r="I55" s="64"/>
      <c r="J55" s="64"/>
      <c r="K55" s="30"/>
    </row>
    <row r="56" spans="1:13" ht="15" thickBot="1" x14ac:dyDescent="0.25"/>
    <row r="57" spans="1:13" ht="21.75" customHeight="1" thickBot="1" x14ac:dyDescent="0.25">
      <c r="A57" s="118" t="s">
        <v>77</v>
      </c>
      <c r="B57" s="119"/>
      <c r="C57" s="120"/>
      <c r="L57" s="88"/>
    </row>
    <row r="58" spans="1:13" ht="24.75" customHeight="1" thickBot="1" x14ac:dyDescent="0.25">
      <c r="A58" s="23" t="s">
        <v>135</v>
      </c>
      <c r="B58" s="24" t="s">
        <v>52</v>
      </c>
      <c r="C58" s="25" t="s">
        <v>53</v>
      </c>
      <c r="J58" s="84"/>
      <c r="K58" s="88"/>
    </row>
    <row r="59" spans="1:13" ht="16" x14ac:dyDescent="0.2">
      <c r="A59" s="16" t="s">
        <v>92</v>
      </c>
      <c r="B59" s="27">
        <f>VLOOKUP($B$1,PRESUPUESTO,2,0)</f>
        <v>31842.253500000003</v>
      </c>
      <c r="C59" s="17">
        <f>B59/2</f>
        <v>15921.126750000001</v>
      </c>
    </row>
    <row r="60" spans="1:13" ht="16" x14ac:dyDescent="0.2">
      <c r="A60" s="2" t="s">
        <v>93</v>
      </c>
      <c r="B60" s="26">
        <f>VLOOKUP($B$1,PRESUPUESTO,3,0)</f>
        <v>32820.1872</v>
      </c>
      <c r="C60" s="3">
        <f>B60/2</f>
        <v>16410.0936</v>
      </c>
    </row>
    <row r="61" spans="1:13" ht="16" x14ac:dyDescent="0.2">
      <c r="A61" s="2" t="s">
        <v>94</v>
      </c>
      <c r="B61" s="26">
        <f>VLOOKUP($B$1,PRESUPUESTO,4,0)</f>
        <v>33857.320700000004</v>
      </c>
      <c r="C61" s="3">
        <f>B61/2</f>
        <v>16928.660350000002</v>
      </c>
    </row>
    <row r="62" spans="1:13" ht="17" thickBot="1" x14ac:dyDescent="0.25">
      <c r="A62" s="2" t="s">
        <v>95</v>
      </c>
      <c r="B62" s="26">
        <f>VLOOKUP($B$1,PRESUPUESTO,5,0)</f>
        <v>34933.301700000004</v>
      </c>
      <c r="C62" s="3">
        <f>B62/2</f>
        <v>17466.650850000002</v>
      </c>
    </row>
    <row r="63" spans="1:13" ht="33" customHeight="1" thickBot="1" x14ac:dyDescent="0.2">
      <c r="A63" s="54" t="s">
        <v>99</v>
      </c>
      <c r="B63" s="55">
        <f>SUM(B59:B62)</f>
        <v>133453.06310000003</v>
      </c>
      <c r="C63" s="55">
        <f>SUM(C59:C62)</f>
        <v>66726.531550000014</v>
      </c>
      <c r="G63" s="69" t="s">
        <v>124</v>
      </c>
      <c r="I63" s="191" t="s">
        <v>131</v>
      </c>
      <c r="J63" s="192"/>
    </row>
    <row r="64" spans="1:13" ht="30.75" customHeight="1" x14ac:dyDescent="0.15">
      <c r="F64" s="22" t="s">
        <v>88</v>
      </c>
      <c r="G64" s="89">
        <f>VLOOKUP($B$1,SOBRETASA,6,0)</f>
        <v>5024.1756000000005</v>
      </c>
      <c r="I64" s="179" t="s">
        <v>132</v>
      </c>
      <c r="J64" s="199" t="str">
        <f>IF(G66&gt;=G64,"SE CUMPLE","NO SE CUMPLE")</f>
        <v>SE CUMPLE</v>
      </c>
    </row>
    <row r="65" spans="1:10" ht="30" customHeight="1" x14ac:dyDescent="0.15">
      <c r="F65" s="70" t="s">
        <v>89</v>
      </c>
      <c r="G65" s="90">
        <f>SUM(G36:G39)</f>
        <v>7962.6359052436655</v>
      </c>
      <c r="I65" s="180"/>
      <c r="J65" s="200"/>
    </row>
    <row r="66" spans="1:10" ht="31.5" customHeight="1" thickBot="1" x14ac:dyDescent="0.2">
      <c r="A66" s="190" t="s">
        <v>140</v>
      </c>
      <c r="B66" s="190"/>
      <c r="C66" s="190"/>
      <c r="D66" s="190"/>
      <c r="F66" s="72" t="s">
        <v>117</v>
      </c>
      <c r="G66" s="71">
        <f>SUM(L36:L39)</f>
        <v>7986.0359052436652</v>
      </c>
      <c r="I66" s="181"/>
      <c r="J66" s="201"/>
    </row>
    <row r="67" spans="1:10" ht="26.25" customHeight="1" x14ac:dyDescent="0.2">
      <c r="A67" s="190"/>
      <c r="B67" s="190"/>
      <c r="C67" s="190"/>
      <c r="D67" s="190"/>
      <c r="F67" s="189"/>
      <c r="G67" s="189"/>
    </row>
    <row r="68" spans="1:10" ht="15.75" customHeight="1" thickBot="1" x14ac:dyDescent="0.25">
      <c r="A68" s="190"/>
      <c r="B68" s="190"/>
      <c r="C68" s="190"/>
      <c r="D68" s="190"/>
      <c r="G68" s="53"/>
    </row>
    <row r="69" spans="1:10" ht="36" customHeight="1" thickBot="1" x14ac:dyDescent="0.2">
      <c r="A69" s="190"/>
      <c r="B69" s="190"/>
      <c r="C69" s="190"/>
      <c r="D69" s="190"/>
      <c r="F69" s="167" t="s">
        <v>134</v>
      </c>
      <c r="G69" s="168"/>
      <c r="I69" s="191" t="s">
        <v>131</v>
      </c>
      <c r="J69" s="192"/>
    </row>
    <row r="70" spans="1:10" ht="15.75" customHeight="1" x14ac:dyDescent="0.15">
      <c r="A70" s="190"/>
      <c r="B70" s="190"/>
      <c r="C70" s="190"/>
      <c r="D70" s="190"/>
      <c r="F70" s="185">
        <f>SUMIF(F5:F53,"&lt;=200",F5:F53)</f>
        <v>35.733594189575165</v>
      </c>
      <c r="G70" s="186"/>
      <c r="I70" s="179" t="s">
        <v>133</v>
      </c>
      <c r="J70" s="182" t="str">
        <f>IF(EXACT(J74,J75),"SE CUMPLE","NO SE CUMPLE")</f>
        <v>SE CUMPLE</v>
      </c>
    </row>
    <row r="71" spans="1:10" ht="31.5" customHeight="1" thickBot="1" x14ac:dyDescent="0.2">
      <c r="A71" s="190"/>
      <c r="B71" s="190"/>
      <c r="C71" s="190"/>
      <c r="D71" s="190"/>
      <c r="F71" s="187"/>
      <c r="G71" s="188"/>
      <c r="I71" s="180"/>
      <c r="J71" s="183"/>
    </row>
    <row r="72" spans="1:10" ht="13.5" customHeight="1" x14ac:dyDescent="0.15">
      <c r="A72" s="190"/>
      <c r="B72" s="190"/>
      <c r="C72" s="190"/>
      <c r="D72" s="190"/>
      <c r="I72" s="180"/>
      <c r="J72" s="183"/>
    </row>
    <row r="73" spans="1:10" ht="16.5" customHeight="1" thickBot="1" x14ac:dyDescent="0.2">
      <c r="A73" s="190"/>
      <c r="B73" s="190"/>
      <c r="C73" s="190"/>
      <c r="D73" s="190"/>
      <c r="I73" s="181"/>
      <c r="J73" s="184"/>
    </row>
    <row r="74" spans="1:10" ht="19.5" customHeight="1" x14ac:dyDescent="0.2">
      <c r="A74" s="190"/>
      <c r="B74" s="190"/>
      <c r="C74" s="190"/>
      <c r="D74" s="190"/>
      <c r="F74" s="167" t="s">
        <v>125</v>
      </c>
      <c r="G74" s="168"/>
      <c r="J74" s="122" t="str">
        <f>FIXED($C$63,0)</f>
        <v>66.727</v>
      </c>
    </row>
    <row r="75" spans="1:10" ht="24" customHeight="1" thickBot="1" x14ac:dyDescent="0.25">
      <c r="A75" s="190"/>
      <c r="B75" s="190"/>
      <c r="C75" s="190"/>
      <c r="D75" s="190"/>
      <c r="F75" s="169"/>
      <c r="G75" s="170"/>
      <c r="J75" s="122" t="str">
        <f>FIXED($L$54,0)</f>
        <v>66.727</v>
      </c>
    </row>
    <row r="76" spans="1:10" ht="22.5" customHeight="1" thickBot="1" x14ac:dyDescent="0.2">
      <c r="A76" s="190"/>
      <c r="B76" s="190"/>
      <c r="C76" s="190"/>
      <c r="D76" s="190"/>
      <c r="F76" s="163">
        <f>SUMIF(I5:I53,"&gt;0",I5:I53)</f>
        <v>0</v>
      </c>
      <c r="G76" s="164"/>
      <c r="I76" s="191" t="s">
        <v>138</v>
      </c>
      <c r="J76" s="192"/>
    </row>
    <row r="77" spans="1:10" ht="37.5" customHeight="1" x14ac:dyDescent="0.15">
      <c r="A77" s="190"/>
      <c r="B77" s="190"/>
      <c r="C77" s="190"/>
      <c r="D77" s="190"/>
      <c r="F77" s="83"/>
      <c r="G77" s="83"/>
      <c r="I77" s="193">
        <f>C63-L54</f>
        <v>-0.2664058104128344</v>
      </c>
      <c r="J77" s="194"/>
    </row>
    <row r="78" spans="1:10" ht="13.5" customHeight="1" thickBot="1" x14ac:dyDescent="0.2">
      <c r="A78" s="190"/>
      <c r="B78" s="190"/>
      <c r="C78" s="190"/>
      <c r="D78" s="190"/>
      <c r="I78" s="195"/>
      <c r="J78" s="196"/>
    </row>
    <row r="79" spans="1:10" ht="16.5" customHeight="1" x14ac:dyDescent="0.2">
      <c r="A79" s="190"/>
      <c r="B79" s="190"/>
      <c r="C79" s="190"/>
      <c r="D79" s="190"/>
      <c r="F79" s="167" t="s">
        <v>126</v>
      </c>
      <c r="G79" s="168"/>
    </row>
    <row r="80" spans="1:10" ht="16.5" customHeight="1" thickBot="1" x14ac:dyDescent="0.25">
      <c r="A80" s="190"/>
      <c r="B80" s="190"/>
      <c r="C80" s="190"/>
      <c r="D80" s="190"/>
      <c r="F80" s="169"/>
      <c r="G80" s="170"/>
    </row>
    <row r="81" spans="1:7" ht="62.25" customHeight="1" thickBot="1" x14ac:dyDescent="0.25">
      <c r="A81" s="190"/>
      <c r="B81" s="190"/>
      <c r="C81" s="190"/>
      <c r="D81" s="190"/>
      <c r="F81" s="165">
        <f>SUM(F70+F76)</f>
        <v>35.733594189575165</v>
      </c>
      <c r="G81" s="166"/>
    </row>
    <row r="82" spans="1:7" ht="12.75" customHeight="1" x14ac:dyDescent="0.2">
      <c r="A82" s="190"/>
      <c r="B82" s="190"/>
      <c r="C82" s="190"/>
      <c r="D82" s="190"/>
    </row>
    <row r="83" spans="1:7" ht="12.75" customHeight="1" x14ac:dyDescent="0.2">
      <c r="A83" s="190"/>
      <c r="B83" s="190"/>
      <c r="C83" s="190"/>
      <c r="D83" s="190"/>
    </row>
    <row r="84" spans="1:7" ht="12.75" customHeight="1" x14ac:dyDescent="0.2">
      <c r="A84" s="190"/>
      <c r="B84" s="190"/>
      <c r="C84" s="190"/>
      <c r="D84" s="190"/>
    </row>
    <row r="85" spans="1:7" ht="12.75" customHeight="1" x14ac:dyDescent="0.2">
      <c r="A85" s="190"/>
      <c r="B85" s="190"/>
      <c r="C85" s="190"/>
      <c r="D85" s="190"/>
    </row>
    <row r="86" spans="1:7" ht="12.75" customHeight="1" x14ac:dyDescent="0.2">
      <c r="A86" s="190"/>
      <c r="B86" s="190"/>
      <c r="C86" s="190"/>
      <c r="D86" s="190"/>
    </row>
    <row r="87" spans="1:7" ht="12.75" customHeight="1" x14ac:dyDescent="0.2">
      <c r="A87" s="190"/>
      <c r="B87" s="190"/>
      <c r="C87" s="190"/>
      <c r="D87" s="190"/>
    </row>
    <row r="88" spans="1:7" ht="16.5" customHeight="1" x14ac:dyDescent="0.2">
      <c r="A88" s="190"/>
      <c r="B88" s="190"/>
      <c r="C88" s="190"/>
      <c r="D88" s="190"/>
    </row>
  </sheetData>
  <sheetProtection formatCells="0" autoFilter="0" pivotTables="0"/>
  <autoFilter ref="A4:M54" xr:uid="{00000000-0009-0000-0000-000002000000}"/>
  <mergeCells count="20">
    <mergeCell ref="L3:M3"/>
    <mergeCell ref="I63:J63"/>
    <mergeCell ref="I64:I66"/>
    <mergeCell ref="J64:J66"/>
    <mergeCell ref="I69:J69"/>
    <mergeCell ref="F76:G76"/>
    <mergeCell ref="F81:G81"/>
    <mergeCell ref="F79:G80"/>
    <mergeCell ref="A3:F3"/>
    <mergeCell ref="A54:C54"/>
    <mergeCell ref="G3:J3"/>
    <mergeCell ref="I70:I73"/>
    <mergeCell ref="J70:J73"/>
    <mergeCell ref="F70:G71"/>
    <mergeCell ref="F69:G69"/>
    <mergeCell ref="F74:G75"/>
    <mergeCell ref="F67:G67"/>
    <mergeCell ref="A66:D88"/>
    <mergeCell ref="I76:J76"/>
    <mergeCell ref="I77:J78"/>
  </mergeCells>
  <conditionalFormatting sqref="G66">
    <cfRule type="cellIs" dxfId="48" priority="77" operator="lessThan">
      <formula>$G$64</formula>
    </cfRule>
  </conditionalFormatting>
  <conditionalFormatting sqref="G66">
    <cfRule type="cellIs" dxfId="47" priority="75" operator="greaterThan">
      <formula>$G$64</formula>
    </cfRule>
    <cfRule type="cellIs" dxfId="46" priority="76" operator="lessThan">
      <formula>$G$64</formula>
    </cfRule>
  </conditionalFormatting>
  <conditionalFormatting sqref="F5:F53">
    <cfRule type="cellIs" dxfId="45" priority="12" operator="lessThan">
      <formula>200</formula>
    </cfRule>
  </conditionalFormatting>
  <conditionalFormatting sqref="I5:I53">
    <cfRule type="cellIs" dxfId="44" priority="10" operator="greaterThan">
      <formula>0</formula>
    </cfRule>
  </conditionalFormatting>
  <conditionalFormatting sqref="J64:J66">
    <cfRule type="containsText" dxfId="43" priority="8" operator="containsText" text="NO SE CUMPLE">
      <formula>NOT(ISERROR(SEARCH("NO SE CUMPLE",J64)))</formula>
    </cfRule>
    <cfRule type="containsText" dxfId="42" priority="9" operator="containsText" text="SE CUMPLE">
      <formula>NOT(ISERROR(SEARCH("SE CUMPLE",J64)))</formula>
    </cfRule>
  </conditionalFormatting>
  <conditionalFormatting sqref="J70">
    <cfRule type="containsText" dxfId="41" priority="6" operator="containsText" text="NO SE CUMPLE">
      <formula>NOT(ISERROR(SEARCH("NO SE CUMPLE",J70)))</formula>
    </cfRule>
    <cfRule type="containsText" dxfId="40" priority="7" operator="containsText" text="SE CUMPLE">
      <formula>NOT(ISERROR(SEARCH("SE CUMPLE",J70)))</formula>
    </cfRule>
  </conditionalFormatting>
  <conditionalFormatting sqref="L5:L53">
    <cfRule type="cellIs" dxfId="39" priority="5" operator="lessThan">
      <formula>200</formula>
    </cfRule>
  </conditionalFormatting>
  <dataValidations count="3">
    <dataValidation type="list" allowBlank="1" showInputMessage="1" showErrorMessage="1" sqref="C5 B37 B39:B42 C11:C13 B47:B53 C25:C44 B5:B35 C7:C9" xr:uid="{00000000-0002-0000-0200-000000000000}">
      <formula1>LINEA</formula1>
    </dataValidation>
    <dataValidation type="list" allowBlank="1" showInputMessage="1" showErrorMessage="1" sqref="B1" xr:uid="{00000000-0002-0000-0200-000001000000}">
      <formula1>LOCALIDADES</formula1>
    </dataValidation>
    <dataValidation type="custom" allowBlank="1" showInputMessage="1" showErrorMessage="1" errorTitle="ERROR" error="El valor inclido no cumple la regla del umbral._x000a_" sqref="K5:K53" xr:uid="{00000000-0002-0000-0200-000002000000}">
      <formula1>K5+J5&gt;= 200</formula1>
    </dataValidation>
  </dataValidations>
  <pageMargins left="0.7" right="0.7" top="0.75" bottom="0.75" header="0.3" footer="0.3"/>
  <pageSetup scale="31" fitToHeight="2" orientation="portrait" r:id="rId1"/>
  <ignoredErrors>
    <ignoredError sqref="J6:J14 J18:J26 J28 J36:J41 J43:J53 I53:I54 L5:L8 L9:L53 K54 I51:I52" emptyCellReference="1"/>
    <ignoredError sqref="I5:I14 I18:I26 I28 I36:I41 I43:I50" unlockedFormula="1" emptyCellReference="1"/>
    <ignoredError sqref="I27 I30 I34:I35 I42 J70" unlocked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pageSetUpPr fitToPage="1"/>
  </sheetPr>
  <dimension ref="A1:L55"/>
  <sheetViews>
    <sheetView tabSelected="1" workbookViewId="0">
      <selection activeCell="B6" sqref="B6"/>
    </sheetView>
  </sheetViews>
  <sheetFormatPr baseColWidth="10" defaultColWidth="11" defaultRowHeight="16" x14ac:dyDescent="0.2"/>
  <cols>
    <col min="1" max="1" width="6" style="19" customWidth="1"/>
    <col min="2" max="2" width="74.5" style="19" customWidth="1"/>
    <col min="3" max="3" width="15.83203125" style="20" customWidth="1"/>
    <col min="4" max="4" width="16.83203125" style="20" customWidth="1"/>
    <col min="5" max="6" width="12.6640625" style="19" customWidth="1"/>
    <col min="7" max="7" width="18.1640625" style="19" customWidth="1"/>
    <col min="8" max="8" width="14.1640625" style="19" bestFit="1" customWidth="1"/>
    <col min="9" max="16384" width="11" style="19"/>
  </cols>
  <sheetData>
    <row r="1" spans="1:12" x14ac:dyDescent="0.2">
      <c r="A1" s="78"/>
      <c r="B1" s="78"/>
      <c r="C1" s="82"/>
      <c r="D1" s="82"/>
      <c r="E1" s="78"/>
      <c r="F1" s="78"/>
      <c r="G1" s="78"/>
      <c r="H1" s="78"/>
    </row>
    <row r="2" spans="1:12" x14ac:dyDescent="0.2">
      <c r="A2" s="78"/>
      <c r="B2" s="78"/>
      <c r="C2" s="82"/>
      <c r="D2" s="82"/>
      <c r="E2" s="78"/>
      <c r="F2" s="78"/>
      <c r="G2" s="78"/>
      <c r="H2" s="78"/>
    </row>
    <row r="3" spans="1:12" s="21" customFormat="1" ht="35" thickBot="1" x14ac:dyDescent="0.25">
      <c r="A3" s="79" t="s">
        <v>1</v>
      </c>
      <c r="B3" s="80" t="s">
        <v>4</v>
      </c>
      <c r="C3" s="80" t="s">
        <v>118</v>
      </c>
      <c r="D3" s="80" t="s">
        <v>119</v>
      </c>
      <c r="E3"/>
      <c r="F3"/>
      <c r="G3"/>
      <c r="H3"/>
    </row>
    <row r="4" spans="1:12" x14ac:dyDescent="0.2">
      <c r="A4" s="81">
        <v>1</v>
      </c>
      <c r="B4" s="78" t="s">
        <v>84</v>
      </c>
      <c r="C4" s="138">
        <v>6175.9561957649066</v>
      </c>
      <c r="D4" s="139">
        <v>9.2555860388429112E-2</v>
      </c>
      <c r="E4"/>
      <c r="F4"/>
      <c r="G4"/>
      <c r="H4"/>
      <c r="J4" s="78"/>
      <c r="K4" s="78"/>
      <c r="L4" s="78"/>
    </row>
    <row r="5" spans="1:12" x14ac:dyDescent="0.2">
      <c r="A5" s="81">
        <v>2</v>
      </c>
      <c r="B5" s="78" t="s">
        <v>43</v>
      </c>
      <c r="C5" s="138">
        <v>5908.6430412799018</v>
      </c>
      <c r="D5" s="139">
        <v>8.8549776436041158E-2</v>
      </c>
      <c r="E5"/>
      <c r="F5"/>
      <c r="G5"/>
      <c r="H5"/>
      <c r="J5" s="78"/>
      <c r="K5" s="78"/>
      <c r="L5" s="78"/>
    </row>
    <row r="6" spans="1:12" x14ac:dyDescent="0.2">
      <c r="A6" s="81">
        <v>3</v>
      </c>
      <c r="B6" s="78" t="s">
        <v>85</v>
      </c>
      <c r="C6" s="138">
        <v>5371.9503264994655</v>
      </c>
      <c r="D6" s="139">
        <v>8.0506640376434957E-2</v>
      </c>
      <c r="E6"/>
      <c r="F6"/>
      <c r="G6"/>
      <c r="H6"/>
      <c r="J6" s="78"/>
      <c r="K6" s="78"/>
      <c r="L6" s="78"/>
    </row>
    <row r="7" spans="1:12" x14ac:dyDescent="0.2">
      <c r="A7" s="81">
        <v>4</v>
      </c>
      <c r="B7" s="78" t="s">
        <v>82</v>
      </c>
      <c r="C7" s="138">
        <v>3912.82856375848</v>
      </c>
      <c r="D7" s="139">
        <v>5.8639537391704848E-2</v>
      </c>
      <c r="E7"/>
      <c r="F7"/>
      <c r="G7"/>
      <c r="H7"/>
    </row>
    <row r="8" spans="1:12" x14ac:dyDescent="0.2">
      <c r="A8" s="81">
        <v>5</v>
      </c>
      <c r="B8" s="78" t="s">
        <v>86</v>
      </c>
      <c r="C8" s="138">
        <v>3525.7146267047492</v>
      </c>
      <c r="D8" s="139">
        <v>5.2838061089633591E-2</v>
      </c>
      <c r="E8"/>
      <c r="F8"/>
      <c r="G8"/>
      <c r="H8"/>
    </row>
    <row r="9" spans="1:12" x14ac:dyDescent="0.2">
      <c r="A9" s="81">
        <v>6</v>
      </c>
      <c r="B9" s="78" t="s">
        <v>31</v>
      </c>
      <c r="C9" s="138">
        <v>3436.3806412308113</v>
      </c>
      <c r="D9" s="139">
        <v>5.1499258866078687E-2</v>
      </c>
      <c r="E9"/>
      <c r="F9"/>
      <c r="G9" s="202" t="s">
        <v>120</v>
      </c>
      <c r="H9" s="202"/>
      <c r="I9" s="202"/>
    </row>
    <row r="10" spans="1:12" x14ac:dyDescent="0.2">
      <c r="A10" s="81">
        <v>7</v>
      </c>
      <c r="B10" s="78" t="s">
        <v>83</v>
      </c>
      <c r="C10" s="138">
        <v>3257.7126702829355</v>
      </c>
      <c r="D10" s="139">
        <v>4.8821654418968879E-2</v>
      </c>
      <c r="E10"/>
      <c r="F10"/>
      <c r="G10" s="202"/>
      <c r="H10" s="202"/>
      <c r="I10" s="202"/>
    </row>
    <row r="11" spans="1:12" x14ac:dyDescent="0.2">
      <c r="A11" s="81">
        <v>8</v>
      </c>
      <c r="B11" s="78" t="s">
        <v>19</v>
      </c>
      <c r="C11" s="138">
        <v>2602.5967768073906</v>
      </c>
      <c r="D11" s="139">
        <v>3.9003771446232897E-2</v>
      </c>
      <c r="E11"/>
      <c r="F11"/>
      <c r="G11" s="202"/>
      <c r="H11" s="202"/>
      <c r="I11" s="202"/>
    </row>
    <row r="12" spans="1:12" x14ac:dyDescent="0.2">
      <c r="A12" s="81">
        <v>9</v>
      </c>
      <c r="B12" s="78" t="s">
        <v>21</v>
      </c>
      <c r="C12" s="138">
        <v>2560.9075835862195</v>
      </c>
      <c r="D12" s="139">
        <v>3.837899707524061E-2</v>
      </c>
      <c r="E12"/>
      <c r="F12"/>
      <c r="G12" s="202"/>
      <c r="H12" s="202"/>
      <c r="I12" s="202"/>
    </row>
    <row r="13" spans="1:12" x14ac:dyDescent="0.2">
      <c r="A13" s="81">
        <v>10</v>
      </c>
      <c r="B13" s="78" t="s">
        <v>34</v>
      </c>
      <c r="C13" s="138">
        <v>2227.3940378168513</v>
      </c>
      <c r="D13" s="139">
        <v>3.33808021073023E-2</v>
      </c>
      <c r="E13"/>
      <c r="F13"/>
      <c r="G13" s="202"/>
      <c r="H13" s="202"/>
      <c r="I13" s="202"/>
    </row>
    <row r="14" spans="1:12" x14ac:dyDescent="0.2">
      <c r="A14" s="81">
        <v>11</v>
      </c>
      <c r="B14" s="78" t="s">
        <v>46</v>
      </c>
      <c r="C14" s="138">
        <v>2203.5716416904684</v>
      </c>
      <c r="D14" s="139">
        <v>3.3023788181020995E-2</v>
      </c>
      <c r="E14"/>
      <c r="F14"/>
      <c r="G14" s="202"/>
      <c r="H14" s="202"/>
      <c r="I14" s="202"/>
    </row>
    <row r="15" spans="1:12" x14ac:dyDescent="0.2">
      <c r="A15" s="81">
        <v>12</v>
      </c>
      <c r="B15" s="78" t="s">
        <v>26</v>
      </c>
      <c r="C15" s="138">
        <v>2096.3708591217428</v>
      </c>
      <c r="D15" s="139">
        <v>3.1417225512755109E-2</v>
      </c>
      <c r="E15"/>
      <c r="F15"/>
      <c r="G15" s="202"/>
      <c r="H15" s="202"/>
      <c r="I15" s="202"/>
    </row>
    <row r="16" spans="1:12" x14ac:dyDescent="0.2">
      <c r="A16" s="81">
        <v>13</v>
      </c>
      <c r="B16" s="78" t="s">
        <v>23</v>
      </c>
      <c r="C16" s="138">
        <v>2012.9924726794006</v>
      </c>
      <c r="D16" s="139">
        <v>3.0167676770770528E-2</v>
      </c>
      <c r="E16"/>
      <c r="F16"/>
      <c r="G16" s="202"/>
      <c r="H16" s="202"/>
      <c r="I16" s="202"/>
    </row>
    <row r="17" spans="1:8" x14ac:dyDescent="0.2">
      <c r="A17" s="81">
        <v>14</v>
      </c>
      <c r="B17" s="78" t="s">
        <v>45</v>
      </c>
      <c r="C17" s="138">
        <v>1727.1237191627993</v>
      </c>
      <c r="D17" s="139">
        <v>2.5883509655394831E-2</v>
      </c>
      <c r="E17"/>
      <c r="F17"/>
      <c r="G17"/>
      <c r="H17"/>
    </row>
    <row r="18" spans="1:8" x14ac:dyDescent="0.2">
      <c r="A18" s="81">
        <v>15</v>
      </c>
      <c r="B18" s="78" t="s">
        <v>7</v>
      </c>
      <c r="C18" s="138">
        <v>1703.3013230364159</v>
      </c>
      <c r="D18" s="139">
        <v>2.5526495729113523E-2</v>
      </c>
      <c r="E18"/>
      <c r="F18"/>
      <c r="G18"/>
      <c r="H18"/>
    </row>
    <row r="19" spans="1:8" x14ac:dyDescent="0.2">
      <c r="A19" s="81">
        <v>16</v>
      </c>
      <c r="B19" s="78" t="s">
        <v>27</v>
      </c>
      <c r="C19" s="138">
        <v>1691.3901249732244</v>
      </c>
      <c r="D19" s="139">
        <v>2.5347988765972874E-2</v>
      </c>
      <c r="E19"/>
      <c r="F19"/>
      <c r="G19"/>
      <c r="H19"/>
    </row>
    <row r="20" spans="1:8" x14ac:dyDescent="0.2">
      <c r="A20" s="81">
        <v>17</v>
      </c>
      <c r="B20" s="78" t="s">
        <v>42</v>
      </c>
      <c r="C20" s="138">
        <v>1690.2789269100326</v>
      </c>
      <c r="D20" s="139">
        <v>2.5331335815475718E-2</v>
      </c>
      <c r="E20"/>
      <c r="F20"/>
      <c r="G20"/>
      <c r="H20"/>
    </row>
    <row r="21" spans="1:8" x14ac:dyDescent="0.2">
      <c r="A21" s="81">
        <v>18</v>
      </c>
      <c r="B21" s="78" t="s">
        <v>16</v>
      </c>
      <c r="C21" s="138">
        <v>1340.0097821090685</v>
      </c>
      <c r="D21" s="139">
        <v>2.0082033353323578E-2</v>
      </c>
      <c r="E21"/>
      <c r="F21"/>
      <c r="G21"/>
      <c r="H21"/>
    </row>
    <row r="22" spans="1:8" x14ac:dyDescent="0.2">
      <c r="A22" s="81">
        <v>19</v>
      </c>
      <c r="B22" s="78" t="s">
        <v>33</v>
      </c>
      <c r="C22" s="138">
        <v>1262.5869946983223</v>
      </c>
      <c r="D22" s="139">
        <v>1.8921738092909327E-2</v>
      </c>
      <c r="E22"/>
      <c r="F22"/>
      <c r="G22"/>
      <c r="H22"/>
    </row>
    <row r="23" spans="1:8" x14ac:dyDescent="0.2">
      <c r="A23" s="81">
        <v>20</v>
      </c>
      <c r="B23" s="78" t="s">
        <v>22</v>
      </c>
      <c r="C23" s="138">
        <v>1185.1642072875761</v>
      </c>
      <c r="D23" s="139">
        <v>1.7761442832495075E-2</v>
      </c>
      <c r="E23"/>
      <c r="F23"/>
      <c r="G23"/>
      <c r="H23"/>
    </row>
    <row r="24" spans="1:8" x14ac:dyDescent="0.2">
      <c r="A24" s="81">
        <v>21</v>
      </c>
      <c r="B24" s="78" t="s">
        <v>20</v>
      </c>
      <c r="C24" s="138">
        <v>1125.6082169716174</v>
      </c>
      <c r="D24" s="139">
        <v>1.6868908016791802E-2</v>
      </c>
      <c r="E24"/>
      <c r="F24"/>
      <c r="G24"/>
      <c r="H24"/>
    </row>
    <row r="25" spans="1:8" x14ac:dyDescent="0.2">
      <c r="A25" s="81">
        <v>22</v>
      </c>
      <c r="B25" s="78" t="s">
        <v>47</v>
      </c>
      <c r="C25" s="138">
        <v>1095.8302218136382</v>
      </c>
      <c r="D25" s="139">
        <v>1.6422640608940171E-2</v>
      </c>
      <c r="E25"/>
      <c r="F25"/>
      <c r="G25"/>
      <c r="H25"/>
    </row>
    <row r="26" spans="1:8" x14ac:dyDescent="0.2">
      <c r="A26" s="81">
        <v>23</v>
      </c>
      <c r="B26" s="78" t="s">
        <v>36</v>
      </c>
      <c r="C26" s="138">
        <v>940.98464699214583</v>
      </c>
      <c r="D26" s="139">
        <v>1.4102050088111667E-2</v>
      </c>
      <c r="E26"/>
      <c r="F26"/>
      <c r="G26"/>
      <c r="H26"/>
    </row>
    <row r="27" spans="1:8" x14ac:dyDescent="0.2">
      <c r="A27" s="81">
        <v>24</v>
      </c>
      <c r="B27" s="78" t="s">
        <v>18</v>
      </c>
      <c r="C27" s="138">
        <v>815.91706732863281</v>
      </c>
      <c r="D27" s="139">
        <v>1.2227726975134801E-2</v>
      </c>
      <c r="E27"/>
      <c r="F27"/>
      <c r="G27"/>
      <c r="H27"/>
    </row>
    <row r="28" spans="1:8" x14ac:dyDescent="0.2">
      <c r="A28" s="81">
        <v>25</v>
      </c>
      <c r="B28" s="143" t="s">
        <v>79</v>
      </c>
      <c r="C28" s="138">
        <v>768.27227507586599</v>
      </c>
      <c r="D28" s="139">
        <v>1.1513699122572186E-2</v>
      </c>
      <c r="E28"/>
      <c r="F28"/>
      <c r="G28"/>
      <c r="H28"/>
    </row>
    <row r="29" spans="1:8" x14ac:dyDescent="0.2">
      <c r="A29" s="81">
        <v>26</v>
      </c>
      <c r="B29" s="78" t="s">
        <v>25</v>
      </c>
      <c r="C29" s="138">
        <v>750.40547798107832</v>
      </c>
      <c r="D29" s="139">
        <v>1.1245938677861203E-2</v>
      </c>
      <c r="E29"/>
      <c r="F29"/>
      <c r="G29"/>
      <c r="H29"/>
    </row>
    <row r="30" spans="1:8" x14ac:dyDescent="0.2">
      <c r="A30" s="81">
        <v>27</v>
      </c>
      <c r="B30" s="78" t="s">
        <v>35</v>
      </c>
      <c r="C30" s="138">
        <v>720.62748282309906</v>
      </c>
      <c r="D30" s="139">
        <v>1.0799671270009569E-2</v>
      </c>
      <c r="E30"/>
      <c r="F30"/>
      <c r="G30"/>
      <c r="H30"/>
    </row>
    <row r="31" spans="1:8" x14ac:dyDescent="0.2">
      <c r="A31" s="81">
        <v>28</v>
      </c>
      <c r="B31" s="78" t="s">
        <v>11</v>
      </c>
      <c r="C31" s="138">
        <v>690.84948766511968</v>
      </c>
      <c r="D31" s="139">
        <v>1.0353403862157932E-2</v>
      </c>
      <c r="E31"/>
      <c r="F31"/>
      <c r="G31"/>
      <c r="H31"/>
    </row>
    <row r="32" spans="1:8" x14ac:dyDescent="0.2">
      <c r="A32" s="81">
        <v>29</v>
      </c>
      <c r="B32" s="78" t="s">
        <v>48</v>
      </c>
      <c r="C32" s="138">
        <v>595.55990315958604</v>
      </c>
      <c r="D32" s="139">
        <v>8.9253481570327024E-3</v>
      </c>
      <c r="E32"/>
      <c r="F32"/>
      <c r="G32"/>
      <c r="H32"/>
    </row>
    <row r="33" spans="1:8" x14ac:dyDescent="0.2">
      <c r="A33" s="81">
        <v>30</v>
      </c>
      <c r="B33" s="78" t="s">
        <v>49</v>
      </c>
      <c r="C33" s="138">
        <v>577.69310606479837</v>
      </c>
      <c r="D33" s="139">
        <v>8.6575877123217185E-3</v>
      </c>
      <c r="E33"/>
      <c r="F33"/>
      <c r="G33"/>
      <c r="H33"/>
    </row>
    <row r="34" spans="1:8" x14ac:dyDescent="0.2">
      <c r="A34" s="81">
        <v>31</v>
      </c>
      <c r="B34" s="78" t="s">
        <v>30</v>
      </c>
      <c r="C34" s="138">
        <v>494.31471962245638</v>
      </c>
      <c r="D34" s="139">
        <v>7.4080389703371418E-3</v>
      </c>
      <c r="E34"/>
      <c r="F34"/>
      <c r="G34"/>
      <c r="H34"/>
    </row>
    <row r="35" spans="1:8" x14ac:dyDescent="0.2">
      <c r="A35" s="81">
        <v>32</v>
      </c>
      <c r="B35" s="78" t="s">
        <v>14</v>
      </c>
      <c r="C35" s="138">
        <v>399.02513511692263</v>
      </c>
      <c r="D35" s="139">
        <v>5.9799832652119101E-3</v>
      </c>
      <c r="E35"/>
      <c r="F35"/>
      <c r="G35"/>
      <c r="H35"/>
    </row>
    <row r="36" spans="1:8" x14ac:dyDescent="0.2">
      <c r="A36" s="81">
        <v>33</v>
      </c>
      <c r="B36" s="78" t="s">
        <v>12</v>
      </c>
      <c r="C36" s="138">
        <v>399.02513511692263</v>
      </c>
      <c r="D36" s="139">
        <v>5.9799832652119101E-3</v>
      </c>
      <c r="E36"/>
      <c r="F36"/>
      <c r="G36"/>
      <c r="H36"/>
    </row>
    <row r="37" spans="1:8" x14ac:dyDescent="0.2">
      <c r="A37" s="81">
        <v>34</v>
      </c>
      <c r="B37" s="78" t="s">
        <v>41</v>
      </c>
      <c r="C37" s="138">
        <v>387.11393705373087</v>
      </c>
      <c r="D37" s="139">
        <v>5.801476302071255E-3</v>
      </c>
      <c r="E37"/>
      <c r="F37"/>
      <c r="G37"/>
      <c r="H37"/>
    </row>
    <row r="38" spans="1:8" x14ac:dyDescent="0.2">
      <c r="A38" s="81">
        <v>35</v>
      </c>
      <c r="B38" s="78" t="s">
        <v>24</v>
      </c>
      <c r="C38" s="138">
        <v>303.73555061138887</v>
      </c>
      <c r="D38" s="139">
        <v>4.5519275600866774E-3</v>
      </c>
      <c r="E38"/>
      <c r="F38"/>
      <c r="G38"/>
      <c r="H38"/>
    </row>
    <row r="39" spans="1:8" x14ac:dyDescent="0.2">
      <c r="A39" s="81">
        <v>36</v>
      </c>
      <c r="B39" s="78" t="s">
        <v>50</v>
      </c>
      <c r="C39" s="138">
        <v>297.77995157979302</v>
      </c>
      <c r="D39" s="139">
        <v>4.4626740785163512E-3</v>
      </c>
      <c r="E39"/>
      <c r="F39"/>
      <c r="G39"/>
      <c r="H39"/>
    </row>
    <row r="40" spans="1:8" x14ac:dyDescent="0.2">
      <c r="A40" s="81">
        <v>37</v>
      </c>
      <c r="B40" s="78" t="s">
        <v>13</v>
      </c>
      <c r="C40" s="138">
        <v>238.91276320064267</v>
      </c>
      <c r="D40" s="139">
        <v>3.5804619810898427E-3</v>
      </c>
      <c r="E40"/>
      <c r="F40"/>
      <c r="G40"/>
      <c r="H40"/>
    </row>
    <row r="41" spans="1:8" x14ac:dyDescent="0.2">
      <c r="A41" s="81">
        <v>38</v>
      </c>
      <c r="B41" s="78" t="s">
        <v>9</v>
      </c>
      <c r="C41" s="138">
        <v>232.26836223223853</v>
      </c>
      <c r="D41" s="139">
        <v>3.4808857812427532E-3</v>
      </c>
      <c r="E41"/>
      <c r="F41"/>
      <c r="G41"/>
      <c r="H41"/>
    </row>
    <row r="42" spans="1:8" ht="19" x14ac:dyDescent="0.2">
      <c r="A42" s="81">
        <v>39</v>
      </c>
      <c r="B42" s="92" t="s">
        <v>90</v>
      </c>
      <c r="C42" s="93">
        <v>66726.797955810442</v>
      </c>
      <c r="D42" s="94">
        <v>1.0000000000000002</v>
      </c>
      <c r="E42"/>
      <c r="F42"/>
      <c r="G42"/>
      <c r="H42"/>
    </row>
    <row r="43" spans="1:8" x14ac:dyDescent="0.2">
      <c r="A43" s="81">
        <v>40</v>
      </c>
      <c r="B43"/>
      <c r="C43"/>
      <c r="D43"/>
      <c r="E43"/>
      <c r="F43"/>
      <c r="G43"/>
      <c r="H43"/>
    </row>
    <row r="44" spans="1:8" s="95" customFormat="1" ht="19" x14ac:dyDescent="0.25">
      <c r="A44" s="91">
        <v>41</v>
      </c>
      <c r="B44"/>
      <c r="C44"/>
      <c r="D44"/>
    </row>
    <row r="45" spans="1:8" x14ac:dyDescent="0.2">
      <c r="A45" s="81">
        <v>42</v>
      </c>
      <c r="B45"/>
      <c r="C45"/>
      <c r="D45"/>
      <c r="E45"/>
      <c r="F45"/>
      <c r="G45"/>
      <c r="H45"/>
    </row>
    <row r="46" spans="1:8" x14ac:dyDescent="0.2">
      <c r="A46" s="81">
        <v>43</v>
      </c>
      <c r="B46"/>
      <c r="C46"/>
      <c r="D46"/>
      <c r="E46"/>
      <c r="F46"/>
      <c r="G46"/>
      <c r="H46"/>
    </row>
    <row r="47" spans="1:8" x14ac:dyDescent="0.2">
      <c r="A47" s="81">
        <v>44</v>
      </c>
      <c r="B47"/>
      <c r="C47"/>
      <c r="D47"/>
      <c r="E47"/>
      <c r="F47"/>
      <c r="G47"/>
      <c r="H47"/>
    </row>
    <row r="48" spans="1:8" x14ac:dyDescent="0.2">
      <c r="A48" s="81">
        <v>45</v>
      </c>
      <c r="B48"/>
      <c r="C48"/>
      <c r="D48"/>
      <c r="E48"/>
      <c r="F48"/>
      <c r="G48"/>
      <c r="H48"/>
    </row>
    <row r="49" spans="1:8" x14ac:dyDescent="0.2">
      <c r="A49" s="81">
        <v>46</v>
      </c>
      <c r="B49"/>
      <c r="C49"/>
      <c r="D49"/>
      <c r="E49"/>
      <c r="F49"/>
      <c r="G49"/>
      <c r="H49"/>
    </row>
    <row r="50" spans="1:8" x14ac:dyDescent="0.2">
      <c r="A50" s="81">
        <v>47</v>
      </c>
      <c r="B50"/>
      <c r="C50"/>
      <c r="D50"/>
      <c r="E50"/>
      <c r="F50"/>
      <c r="G50"/>
      <c r="H50"/>
    </row>
    <row r="51" spans="1:8" x14ac:dyDescent="0.2">
      <c r="A51" s="81">
        <v>48</v>
      </c>
      <c r="B51"/>
      <c r="C51"/>
      <c r="D51"/>
      <c r="E51"/>
      <c r="F51"/>
      <c r="G51"/>
      <c r="H51"/>
    </row>
    <row r="52" spans="1:8" x14ac:dyDescent="0.2">
      <c r="A52" s="81">
        <v>49</v>
      </c>
      <c r="B52"/>
      <c r="C52"/>
      <c r="D52"/>
      <c r="E52"/>
      <c r="F52"/>
      <c r="G52"/>
      <c r="H52"/>
    </row>
    <row r="53" spans="1:8" s="87" customFormat="1" ht="23.25" customHeight="1" x14ac:dyDescent="0.2">
      <c r="A53" s="85"/>
      <c r="B53"/>
      <c r="C53"/>
      <c r="D53"/>
      <c r="E53" s="86"/>
      <c r="F53" s="86"/>
      <c r="G53" s="86"/>
      <c r="H53" s="86"/>
    </row>
    <row r="54" spans="1:8" x14ac:dyDescent="0.2">
      <c r="A54" s="78"/>
      <c r="B54" s="78"/>
      <c r="C54" s="82"/>
      <c r="D54" s="82"/>
      <c r="E54" s="78"/>
      <c r="F54" s="78"/>
      <c r="G54" s="78"/>
      <c r="H54" s="78"/>
    </row>
    <row r="55" spans="1:8" x14ac:dyDescent="0.2">
      <c r="A55" s="78"/>
      <c r="B55" s="78"/>
      <c r="C55" s="82"/>
      <c r="D55" s="82"/>
      <c r="E55" s="78"/>
      <c r="F55" s="78"/>
      <c r="G55" s="78"/>
      <c r="H55" s="78"/>
    </row>
  </sheetData>
  <sheetProtection selectLockedCells="1" sort="0" autoFilter="0" pivotTables="0"/>
  <mergeCells count="1">
    <mergeCell ref="G9:I16"/>
  </mergeCells>
  <conditionalFormatting pivot="1" sqref="C4:C27 C29:C41">
    <cfRule type="dataBar" priority="2">
      <dataBar>
        <cfvo type="min"/>
        <cfvo type="max"/>
        <color rgb="FF63C384"/>
      </dataBar>
      <extLst>
        <ext xmlns:x14="http://schemas.microsoft.com/office/spreadsheetml/2009/9/main" uri="{B025F937-C7B1-47D3-B67F-A62EFF666E3E}">
          <x14:id>{DA8F2D8F-CC01-41A1-9AF5-DA82CCD9CEF9}</x14:id>
        </ext>
      </extLst>
    </cfRule>
  </conditionalFormatting>
  <conditionalFormatting pivot="1" sqref="D4:D27 D29:D41">
    <cfRule type="dataBar" priority="1">
      <dataBar>
        <cfvo type="min"/>
        <cfvo type="max"/>
        <color rgb="FF638EC6"/>
      </dataBar>
      <extLst>
        <ext xmlns:x14="http://schemas.microsoft.com/office/spreadsheetml/2009/9/main" uri="{B025F937-C7B1-47D3-B67F-A62EFF666E3E}">
          <x14:id>{3C897E4A-07A7-4C31-BFE8-72CD94D300D1}</x14:id>
        </ext>
      </extLst>
    </cfRule>
  </conditionalFormatting>
  <pageMargins left="0.7" right="0.7" top="0.75" bottom="0.75" header="0.3" footer="0.3"/>
  <pageSetup scale="45" orientation="portrait" r:id="rId2"/>
  <drawing r:id="rId3"/>
  <extLst>
    <ext xmlns:x14="http://schemas.microsoft.com/office/spreadsheetml/2009/9/main" uri="{78C0D931-6437-407d-A8EE-F0AAD7539E65}">
      <x14:conditionalFormattings>
        <x14:conditionalFormatting xmlns:xm="http://schemas.microsoft.com/office/excel/2006/main" pivot="1">
          <x14:cfRule type="dataBar" id="{DA8F2D8F-CC01-41A1-9AF5-DA82CCD9CEF9}">
            <x14:dataBar minLength="0" maxLength="100">
              <x14:cfvo type="autoMin"/>
              <x14:cfvo type="autoMax"/>
              <x14:negativeFillColor rgb="FFFF0000"/>
              <x14:axisColor rgb="FF000000"/>
            </x14:dataBar>
          </x14:cfRule>
          <xm:sqref>C4:C27 C29:C41</xm:sqref>
        </x14:conditionalFormatting>
        <x14:conditionalFormatting xmlns:xm="http://schemas.microsoft.com/office/excel/2006/main" pivot="1">
          <x14:cfRule type="dataBar" id="{3C897E4A-07A7-4C31-BFE8-72CD94D300D1}">
            <x14:dataBar minLength="0" maxLength="100">
              <x14:cfvo type="autoMin"/>
              <x14:cfvo type="autoMax"/>
              <x14:negativeFillColor rgb="FFFF0000"/>
              <x14:axisColor rgb="FF000000"/>
            </x14:dataBar>
          </x14:cfRule>
          <xm:sqref>D4:D27 D29:D41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Proyección Presupuestal Local</vt:lpstr>
      <vt:lpstr>Equipamientos</vt:lpstr>
      <vt:lpstr>Cálculos PP</vt:lpstr>
      <vt:lpstr>PORCENTAJE FINAL</vt:lpstr>
      <vt:lpstr>BASEPP</vt:lpstr>
      <vt:lpstr>LOCALIDADES</vt:lpstr>
      <vt:lpstr>PRESUPUESTO</vt:lpstr>
      <vt:lpstr>SOBRETASA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2020-07-01T08:59:44Z</dcterms:created>
  <dcterms:modified xsi:type="dcterms:W3CDTF">2021-01-23T21:56:40Z</dcterms:modified>
</cp:coreProperties>
</file>