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galeanoe/Documents/LAGE/ARCLAGE/FdLSumapaz/Tareas/PDLSumapaz2020-2024/PDLfin/"/>
    </mc:Choice>
  </mc:AlternateContent>
  <xr:revisionPtr revIDLastSave="0" documentId="13_ncr:1_{06BB53AD-A150-C545-B337-37C17649817F}" xr6:coauthVersionLast="46" xr6:coauthVersionMax="46" xr10:uidLastSave="{00000000-0000-0000-0000-000000000000}"/>
  <bookViews>
    <workbookView xWindow="0" yWindow="0" windowWidth="28800" windowHeight="18000" xr2:uid="{00000000-000D-0000-FFFF-FFFF00000000}"/>
  </bookViews>
  <sheets>
    <sheet name="PLURIANUAL " sheetId="2" r:id="rId1"/>
  </sheets>
  <externalReferences>
    <externalReference r:id="rId2"/>
  </externalReferences>
  <definedNames>
    <definedName name="_xlnm._FilterDatabase" localSheetId="0" hidden="1">'PLURIANUAL '!$A$2:$L$69</definedName>
    <definedName name="concepto">#REF!</definedName>
    <definedName name="CONCPETOLINEA">#REF!</definedName>
    <definedName name="DIMENSION">#REF!</definedName>
    <definedName name="INDICADOR">[1]listas!$S$216:$S$275</definedName>
    <definedName name="LINEA">#REF!</definedName>
    <definedName name="NIVEL">#REF!</definedName>
    <definedName name="OLE_LINK1" localSheetId="0">'PLURIANUAL '!#REF!</definedName>
    <definedName name="SECTO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2" l="1"/>
  <c r="H54" i="2" l="1"/>
  <c r="H44" i="2"/>
  <c r="H32" i="2"/>
  <c r="G54" i="2"/>
  <c r="G44" i="2"/>
  <c r="G32" i="2"/>
  <c r="G93" i="2" l="1"/>
  <c r="J91" i="2"/>
  <c r="I91" i="2"/>
  <c r="H91" i="2"/>
  <c r="G91" i="2"/>
  <c r="J90" i="2"/>
  <c r="I90" i="2"/>
  <c r="H90" i="2"/>
  <c r="G90" i="2"/>
  <c r="J89" i="2"/>
  <c r="I89" i="2"/>
  <c r="H89" i="2"/>
  <c r="G89" i="2"/>
  <c r="K88" i="2"/>
  <c r="K89" i="2" s="1"/>
  <c r="J82" i="2"/>
  <c r="I82" i="2"/>
  <c r="H82" i="2"/>
  <c r="G82" i="2"/>
  <c r="J78" i="2"/>
  <c r="I78" i="2"/>
  <c r="H78" i="2"/>
  <c r="G78" i="2"/>
  <c r="J74" i="2"/>
  <c r="I74" i="2"/>
  <c r="H74" i="2"/>
  <c r="G74" i="2"/>
  <c r="K72" i="2"/>
  <c r="K82" i="2" s="1"/>
  <c r="K67" i="2"/>
  <c r="J66" i="2"/>
  <c r="J73" i="2" s="1"/>
  <c r="I66" i="2"/>
  <c r="H66" i="2"/>
  <c r="G66" i="2"/>
  <c r="G73" i="2" s="1"/>
  <c r="G75" i="2" s="1"/>
  <c r="N65" i="2"/>
  <c r="K65" i="2"/>
  <c r="L65" i="2" s="1"/>
  <c r="J64" i="2"/>
  <c r="J81" i="2" s="1"/>
  <c r="I64" i="2"/>
  <c r="I81" i="2" s="1"/>
  <c r="I83" i="2" s="1"/>
  <c r="H64" i="2"/>
  <c r="H81" i="2" s="1"/>
  <c r="H83" i="2" s="1"/>
  <c r="G64" i="2"/>
  <c r="G81" i="2" s="1"/>
  <c r="N63" i="2"/>
  <c r="K63" i="2"/>
  <c r="L63" i="2" s="1"/>
  <c r="J62" i="2"/>
  <c r="J58" i="2" s="1"/>
  <c r="I62" i="2"/>
  <c r="I58" i="2" s="1"/>
  <c r="H62" i="2"/>
  <c r="G62" i="2"/>
  <c r="N61" i="2"/>
  <c r="K61" i="2"/>
  <c r="L61" i="2" s="1"/>
  <c r="N60" i="2"/>
  <c r="K60" i="2"/>
  <c r="L60" i="2" s="1"/>
  <c r="H59" i="2"/>
  <c r="G59" i="2"/>
  <c r="K68" i="2"/>
  <c r="L68" i="2" s="1"/>
  <c r="N57" i="2"/>
  <c r="K57" i="2"/>
  <c r="L57" i="2" s="1"/>
  <c r="N56" i="2"/>
  <c r="K56" i="2"/>
  <c r="L56" i="2" s="1"/>
  <c r="N55" i="2"/>
  <c r="K55" i="2"/>
  <c r="L55" i="2" s="1"/>
  <c r="J54" i="2"/>
  <c r="I54" i="2"/>
  <c r="N53" i="2"/>
  <c r="K53" i="2"/>
  <c r="L53" i="2" s="1"/>
  <c r="N52" i="2"/>
  <c r="K52" i="2"/>
  <c r="L52" i="2" s="1"/>
  <c r="N51" i="2"/>
  <c r="K51" i="2"/>
  <c r="L51" i="2" s="1"/>
  <c r="N50" i="2"/>
  <c r="K50" i="2"/>
  <c r="L50" i="2" s="1"/>
  <c r="N49" i="2"/>
  <c r="K49" i="2"/>
  <c r="L49" i="2" s="1"/>
  <c r="N48" i="2"/>
  <c r="K48" i="2"/>
  <c r="L48" i="2" s="1"/>
  <c r="N47" i="2"/>
  <c r="K47" i="2"/>
  <c r="N46" i="2"/>
  <c r="K46" i="2"/>
  <c r="L46" i="2" s="1"/>
  <c r="N45" i="2"/>
  <c r="K45" i="2"/>
  <c r="J44" i="2"/>
  <c r="I44" i="2"/>
  <c r="N43" i="2"/>
  <c r="K43" i="2"/>
  <c r="L43" i="2" s="1"/>
  <c r="N42" i="2"/>
  <c r="K42" i="2"/>
  <c r="L42" i="2" s="1"/>
  <c r="N41" i="2"/>
  <c r="K41" i="2"/>
  <c r="L41" i="2" s="1"/>
  <c r="N40" i="2"/>
  <c r="K40" i="2"/>
  <c r="L40" i="2" s="1"/>
  <c r="N39" i="2"/>
  <c r="K39" i="2"/>
  <c r="L39" i="2" s="1"/>
  <c r="N38" i="2"/>
  <c r="K38" i="2"/>
  <c r="L38" i="2" s="1"/>
  <c r="N37" i="2"/>
  <c r="K37" i="2"/>
  <c r="L37" i="2" s="1"/>
  <c r="N36" i="2"/>
  <c r="K36" i="2"/>
  <c r="L36" i="2" s="1"/>
  <c r="N35" i="2"/>
  <c r="K35" i="2"/>
  <c r="L35" i="2" s="1"/>
  <c r="N34" i="2"/>
  <c r="K34" i="2"/>
  <c r="L34" i="2" s="1"/>
  <c r="N33" i="2"/>
  <c r="K33" i="2"/>
  <c r="J32" i="2"/>
  <c r="I32" i="2"/>
  <c r="N31" i="2"/>
  <c r="K31" i="2"/>
  <c r="L31" i="2" s="1"/>
  <c r="N30" i="2"/>
  <c r="K30" i="2"/>
  <c r="L30" i="2" s="1"/>
  <c r="J29" i="2"/>
  <c r="N29" i="2" s="1"/>
  <c r="N28" i="2"/>
  <c r="K28" i="2"/>
  <c r="L28" i="2" s="1"/>
  <c r="N27" i="2"/>
  <c r="K27" i="2"/>
  <c r="L27" i="2" s="1"/>
  <c r="N26" i="2"/>
  <c r="K26" i="2"/>
  <c r="L26" i="2" s="1"/>
  <c r="N25" i="2"/>
  <c r="K25" i="2"/>
  <c r="L25" i="2" s="1"/>
  <c r="N24" i="2"/>
  <c r="K24" i="2"/>
  <c r="L24" i="2" s="1"/>
  <c r="N23" i="2"/>
  <c r="K23" i="2"/>
  <c r="L23" i="2" s="1"/>
  <c r="J22" i="2"/>
  <c r="J77" i="2" s="1"/>
  <c r="N21" i="2"/>
  <c r="K21" i="2"/>
  <c r="L21" i="2" s="1"/>
  <c r="N20" i="2"/>
  <c r="K20" i="2"/>
  <c r="L20" i="2" s="1"/>
  <c r="N19" i="2"/>
  <c r="K19" i="2"/>
  <c r="L19" i="2" s="1"/>
  <c r="N18" i="2"/>
  <c r="K18" i="2"/>
  <c r="L18" i="2" s="1"/>
  <c r="N17" i="2"/>
  <c r="K17" i="2"/>
  <c r="L17" i="2" s="1"/>
  <c r="N16" i="2"/>
  <c r="K16" i="2"/>
  <c r="L16" i="2" s="1"/>
  <c r="N15" i="2"/>
  <c r="K15" i="2"/>
  <c r="L15" i="2" s="1"/>
  <c r="N14" i="2"/>
  <c r="K14" i="2"/>
  <c r="L14" i="2" s="1"/>
  <c r="N13" i="2"/>
  <c r="K13" i="2"/>
  <c r="L13" i="2" s="1"/>
  <c r="N12" i="2"/>
  <c r="K12" i="2"/>
  <c r="L12" i="2" s="1"/>
  <c r="N11" i="2"/>
  <c r="K11" i="2"/>
  <c r="L11" i="2" s="1"/>
  <c r="N10" i="2"/>
  <c r="K10" i="2"/>
  <c r="L10" i="2" s="1"/>
  <c r="N9" i="2"/>
  <c r="K9" i="2"/>
  <c r="L9" i="2" s="1"/>
  <c r="N8" i="2"/>
  <c r="K8" i="2"/>
  <c r="L8" i="2" s="1"/>
  <c r="N7" i="2"/>
  <c r="K7" i="2"/>
  <c r="H6" i="2"/>
  <c r="N5" i="2"/>
  <c r="K5" i="2"/>
  <c r="N4" i="2"/>
  <c r="K4" i="2"/>
  <c r="J3" i="2"/>
  <c r="H58" i="2" l="1"/>
  <c r="G58" i="2"/>
  <c r="G69" i="2" s="1"/>
  <c r="G77" i="2"/>
  <c r="G80" i="2" s="1"/>
  <c r="K59" i="2"/>
  <c r="I77" i="2"/>
  <c r="L67" i="2"/>
  <c r="K90" i="2"/>
  <c r="H77" i="2"/>
  <c r="H79" i="2" s="1"/>
  <c r="K32" i="2"/>
  <c r="L32" i="2" s="1"/>
  <c r="L4" i="2"/>
  <c r="L45" i="2"/>
  <c r="K44" i="2"/>
  <c r="L44" i="2" s="1"/>
  <c r="H73" i="2"/>
  <c r="H75" i="2" s="1"/>
  <c r="H3" i="2"/>
  <c r="H69" i="2" s="1"/>
  <c r="J69" i="2"/>
  <c r="K54" i="2"/>
  <c r="L54" i="2" s="1"/>
  <c r="I79" i="2"/>
  <c r="G79" i="2"/>
  <c r="K22" i="2"/>
  <c r="L22" i="2" s="1"/>
  <c r="K29" i="2"/>
  <c r="L29" i="2" s="1"/>
  <c r="K62" i="2"/>
  <c r="L62" i="2" s="1"/>
  <c r="K66" i="2"/>
  <c r="L66" i="2" s="1"/>
  <c r="I6" i="2"/>
  <c r="I73" i="2" s="1"/>
  <c r="I76" i="2" s="1"/>
  <c r="N22" i="2"/>
  <c r="N62" i="2"/>
  <c r="N66" i="2"/>
  <c r="K64" i="2"/>
  <c r="L64" i="2" s="1"/>
  <c r="I80" i="2"/>
  <c r="I84" i="2"/>
  <c r="G76" i="2"/>
  <c r="L33" i="2"/>
  <c r="J83" i="2"/>
  <c r="J84" i="2"/>
  <c r="H80" i="2"/>
  <c r="J79" i="2"/>
  <c r="J80" i="2"/>
  <c r="J75" i="2"/>
  <c r="J76" i="2"/>
  <c r="H84" i="2"/>
  <c r="H76" i="2"/>
  <c r="L5" i="2"/>
  <c r="L7" i="2"/>
  <c r="L47" i="2"/>
  <c r="L59" i="2"/>
  <c r="N64" i="2"/>
  <c r="K91" i="2"/>
  <c r="N59" i="2"/>
  <c r="G83" i="2"/>
  <c r="K74" i="2"/>
  <c r="K78" i="2"/>
  <c r="K6" i="2" l="1"/>
  <c r="L6" i="2" s="1"/>
  <c r="K58" i="2"/>
  <c r="L58" i="2" s="1"/>
  <c r="I75" i="2"/>
  <c r="K81" i="2"/>
  <c r="K83" i="2" s="1"/>
  <c r="I3" i="2"/>
  <c r="I69" i="2" s="1"/>
  <c r="H93" i="2" s="1"/>
  <c r="N6" i="2"/>
  <c r="K77" i="2"/>
  <c r="K79" i="2" s="1"/>
  <c r="G84" i="2"/>
  <c r="K73" i="2" l="1"/>
  <c r="K75" i="2" s="1"/>
  <c r="K3" i="2"/>
  <c r="L3" i="2" s="1"/>
  <c r="K84" i="2"/>
  <c r="K69" i="2"/>
  <c r="M71" i="2" s="1"/>
  <c r="K80" i="2"/>
  <c r="K76" i="2" l="1"/>
  <c r="L69" i="2"/>
</calcChain>
</file>

<file path=xl/sharedStrings.xml><?xml version="1.0" encoding="utf-8"?>
<sst xmlns="http://schemas.openxmlformats.org/spreadsheetml/2006/main" count="348" uniqueCount="182">
  <si>
    <t>RECURSOS</t>
  </si>
  <si>
    <t>Programa</t>
  </si>
  <si>
    <t>Meta</t>
  </si>
  <si>
    <t>Total</t>
  </si>
  <si>
    <t>%</t>
  </si>
  <si>
    <t>PROPÓSITO 1. Hacer un nuevo contrato social con igualdad de oportunidades para la inclusión social, productiva y política.</t>
  </si>
  <si>
    <t>Subsidios y transferencias para la equidad.</t>
  </si>
  <si>
    <t>Beneficiar 239 personas mayores con apoyo económico tipo C.</t>
  </si>
  <si>
    <t>2021-2024</t>
  </si>
  <si>
    <t>Educación inicial: Bases sólidas para la vida.</t>
  </si>
  <si>
    <t>Dotar 3 Sedes de atención a la primera infancia y/o adolescencia (jardines infantiles y Centros Amar).</t>
  </si>
  <si>
    <t>Vincular 100 personas con discapacidad, cuidadores y cuidadoras, en actividades alternativas de salud.</t>
  </si>
  <si>
    <t>Escuelas y procesos de formación para la participación ciudadana y/u organizaciones para los procesos de presupuestos participativos.</t>
  </si>
  <si>
    <t>Fortalecimiento de organizaciones sociales, comunitarias, comunales, propiedad horizontal e instancias y mecanismos de participación, con énfasis en jóvenes y asociatividad productiva.</t>
  </si>
  <si>
    <t>Vincular 100 personas a las acciones y estrategias de reconocimiento de los saberes ancestrales en medicina.</t>
  </si>
  <si>
    <t>Vincular 300 personas a las acciones desarrolladas desde los dispositivos de base comunitaria en respuesta al consumo de SPA.</t>
  </si>
  <si>
    <t>Vincular 1000 personas en acciones complementarias de la estrategia territorial de salud.</t>
  </si>
  <si>
    <t>Construcción y/o conservación de puentes peatonales y/o vehiculares sobre cuerpos de agua (de escala local: urbana y/o rural).</t>
  </si>
  <si>
    <t>Prevención y atención de maternidad temprana.</t>
  </si>
  <si>
    <t>Vincular 400 personas a las acciones y estrategias para la prevención del embarazo adolescente.</t>
  </si>
  <si>
    <t>Formación integral: más y mejor tiempo en los colegios.</t>
  </si>
  <si>
    <t>Jóvenes con capacidades: Proyecto de vida para la ciudadanía, la innovación y el trabajo del siglo XXI.</t>
  </si>
  <si>
    <t>Vivienda y entornos dignos en el territorio urbano y rural.</t>
  </si>
  <si>
    <t>Mejorar 200 viviendas de interés social rurales.</t>
  </si>
  <si>
    <t>Bogotá, referente en cultura, deporte, recreación y actividad física, con parques para el desarrollo y la salud.</t>
  </si>
  <si>
    <t>Vincular 500 personas en actividades recreo-deportivas comunitarias.</t>
  </si>
  <si>
    <r>
      <t>Capacitar 600</t>
    </r>
    <r>
      <rPr>
        <sz val="10"/>
        <color rgb="FFC00000"/>
        <rFont val="Arial Narrow"/>
        <family val="2"/>
      </rPr>
      <t xml:space="preserve"> </t>
    </r>
    <r>
      <rPr>
        <sz val="10"/>
        <color theme="1"/>
        <rFont val="Arial Narrow"/>
        <family val="2"/>
      </rPr>
      <t>personas en los campos deportivos.</t>
    </r>
  </si>
  <si>
    <r>
      <t>Beneficiar 600</t>
    </r>
    <r>
      <rPr>
        <sz val="10"/>
        <color rgb="FFC00000"/>
        <rFont val="Arial Narrow"/>
        <family val="2"/>
      </rPr>
      <t xml:space="preserve"> </t>
    </r>
    <r>
      <rPr>
        <sz val="10"/>
        <color theme="1"/>
        <rFont val="Arial Narrow"/>
        <family val="2"/>
      </rPr>
      <t>Personas con artículos deportivos entregados.</t>
    </r>
  </si>
  <si>
    <t>Creación y vida cotidiana: Apropiación ciudadana del arte, la cultura y el patrimonio, para la democracia cultural.</t>
  </si>
  <si>
    <t>Realizar 4 eventos de promoción de actividades culturales.</t>
  </si>
  <si>
    <t>Otorgar 50 estímulos de apoyo al sector artístico y cultural.</t>
  </si>
  <si>
    <r>
      <t>Capacitar 600</t>
    </r>
    <r>
      <rPr>
        <sz val="10"/>
        <color rgb="FFC00000"/>
        <rFont val="Arial Narrow"/>
        <family val="2"/>
      </rPr>
      <t xml:space="preserve"> </t>
    </r>
    <r>
      <rPr>
        <sz val="10"/>
        <color theme="1"/>
        <rFont val="Arial Narrow"/>
        <family val="2"/>
      </rPr>
      <t>personas en los campos artísticos, interculturales, culturales y/o patrimoniales.</t>
    </r>
  </si>
  <si>
    <t>Bogotá rural.</t>
  </si>
  <si>
    <t xml:space="preserve">Apoyar 600 predios rurales con asistencia técnica agropecuaria y/o ambiental. </t>
  </si>
  <si>
    <t>Bogotá región emprendedora e innovadora.</t>
  </si>
  <si>
    <t>Financiar 37 proyectos del sector cultural y creativo.</t>
  </si>
  <si>
    <t>PROPÓSITO 2. Cambiar nuestros hábitos de vida para reverdecer a Bogotá y adaptarnos y mitigar la crisis climática.</t>
  </si>
  <si>
    <t>Cambio cultural para la gestión de la crisis climática.</t>
  </si>
  <si>
    <t>Bogotá protectora de sus recursos naturales.</t>
  </si>
  <si>
    <t>Eficiencia en la atención de emergencias.</t>
  </si>
  <si>
    <t>Bogotá protectora competitividad de los animales.</t>
  </si>
  <si>
    <r>
      <t xml:space="preserve">Atender 1000 animales en </t>
    </r>
    <r>
      <rPr>
        <sz val="10"/>
        <color theme="1"/>
        <rFont val="Arial Narrow"/>
        <family val="2"/>
      </rPr>
      <t>urgencias, brigadas médico veterinarias, acciones de esterilización, educación y adopción.</t>
    </r>
  </si>
  <si>
    <t>Provisión y mejoramiento de servicios públicos.</t>
  </si>
  <si>
    <t>Fortalecer 4 acueductos veredales con asistencia, intervenir técnica u organizativa.</t>
  </si>
  <si>
    <t>Ecoeficiencia, reciclaje, manejo de residuos e inclusión de la población recicladora.</t>
  </si>
  <si>
    <r>
      <t xml:space="preserve">Capacitar 700 personas en </t>
    </r>
    <r>
      <rPr>
        <sz val="10"/>
        <color theme="1"/>
        <rFont val="Arial Narrow"/>
        <family val="2"/>
      </rPr>
      <t>separación en la fuente y reciclaje.</t>
    </r>
  </si>
  <si>
    <t>PROPÓSITO 3. Inspirar confianza y legitimidad para vivir sin miedo y ser epicentro de cultura ciudadana, paz y reconciliación.</t>
  </si>
  <si>
    <t>Bogotá territorio de paz y atención integral a las víctimas del conflicto armado.</t>
  </si>
  <si>
    <r>
      <t>Vincular 800 p</t>
    </r>
    <r>
      <rPr>
        <sz val="10"/>
        <color theme="1"/>
        <rFont val="Arial Narrow"/>
        <family val="2"/>
      </rPr>
      <t>ersonas a procesos de construcción de memoria, verdad, reparación integral a víctimas, paz y reconciliación.</t>
    </r>
  </si>
  <si>
    <t>Más mujeres viven una vida libre de violencias, se sienten seguras y acceden con confianza al sistema de justicia.</t>
  </si>
  <si>
    <r>
      <t>Capacitar 1000</t>
    </r>
    <r>
      <rPr>
        <sz val="10"/>
        <color rgb="FFC00000"/>
        <rFont val="Arial Narrow"/>
        <family val="2"/>
      </rPr>
      <t xml:space="preserve"> </t>
    </r>
    <r>
      <rPr>
        <sz val="10"/>
        <color theme="1"/>
        <rFont val="Arial Narrow"/>
        <family val="2"/>
      </rPr>
      <t>personas para la construcción de ciudadanía y desarrollo de capacidades para el ejercicio de derechos de las mujeres.</t>
    </r>
  </si>
  <si>
    <r>
      <t>Vincular 1200 p</t>
    </r>
    <r>
      <rPr>
        <sz val="10"/>
        <color theme="1"/>
        <rFont val="Arial Narrow"/>
        <family val="2"/>
      </rPr>
      <t>ersonas en acciones para la prevención del feminicidio y la violencia contra la mujer.</t>
    </r>
  </si>
  <si>
    <t>Cultura ciudadana para la confianza, la convivencia y la participación desde la vida cotidiana.</t>
  </si>
  <si>
    <r>
      <t xml:space="preserve">Formar 200 </t>
    </r>
    <r>
      <rPr>
        <sz val="10"/>
        <color theme="1"/>
        <rFont val="Arial Narrow"/>
        <family val="2"/>
      </rPr>
      <t>personas en la escuela de seguridad.</t>
    </r>
  </si>
  <si>
    <t>Programa Espacio público más seguro y construido colectivamente.</t>
  </si>
  <si>
    <t>Realizar 2 acuerdos para la vinculación de la ciudadanía en los programas adelantados por el IDRD y acuerdos con vendedores informales o estacionarios</t>
  </si>
  <si>
    <t>Plataforma institucional para la seguridad y justicia.</t>
  </si>
  <si>
    <r>
      <t>Suministrar 3 d</t>
    </r>
    <r>
      <rPr>
        <sz val="10"/>
        <color theme="1"/>
        <rFont val="Arial Narrow"/>
        <family val="2"/>
      </rPr>
      <t>otaciones tecnológicas a organismos de seguridad.</t>
    </r>
  </si>
  <si>
    <r>
      <t>Suministrar 3 d</t>
    </r>
    <r>
      <rPr>
        <sz val="10"/>
        <color theme="1"/>
        <rFont val="Arial Narrow"/>
        <family val="2"/>
      </rPr>
      <t>otaciones del parque automotor a organismos de seguridad.</t>
    </r>
  </si>
  <si>
    <t>PROPÓSITO 4. Hacer de Bogotá-región un modelo de movilidad multimodal, incluyente y sostenible.</t>
  </si>
  <si>
    <t>Movilidad segura, sostenible y accesible.</t>
  </si>
  <si>
    <t>Intervenir 12800 metros cuadrados de elementos del sistema de espacio público peatonal con acciones de construcción y/o conservación.</t>
  </si>
  <si>
    <t>Intervenir 450 metros cuadrados de Puentes vehiculares y/o peatonales de escala local sobre cuerpos de agua con acciones de construcción y/o conservación.</t>
  </si>
  <si>
    <t>Intervenir 2,7 Kilómetros-carril de malla vial rural con acciones de construcción y/o conservación</t>
  </si>
  <si>
    <t>PROPÓSITO 5. Construir Bogotá-región con gobierno abierto, transparente y ciudadanía consciente.</t>
  </si>
  <si>
    <t>Realizar 1 rendición de cuentas anuales.</t>
  </si>
  <si>
    <t>Transformación digital y gestión de TIC para un territorio inteligente.</t>
  </si>
  <si>
    <r>
      <t xml:space="preserve">Operativizar 10 </t>
    </r>
    <r>
      <rPr>
        <sz val="10"/>
        <color theme="1"/>
        <rFont val="Arial Narrow"/>
        <family val="2"/>
      </rPr>
      <t>Centros de Acceso Comunitario en zonas rurales y/o apartadas.</t>
    </r>
  </si>
  <si>
    <t>Fortalecimiento de cultura ciudadana y su institucionalidad.</t>
  </si>
  <si>
    <t>Dotar 21 sedes de salones comunales.</t>
  </si>
  <si>
    <r>
      <t xml:space="preserve">Capacitar 500 personas </t>
    </r>
    <r>
      <rPr>
        <sz val="10"/>
        <color theme="1"/>
        <rFont val="Arial Narrow"/>
        <family val="2"/>
      </rPr>
      <t>a través de procesos de formación para la participación de manera virtual y presencial.</t>
    </r>
  </si>
  <si>
    <t>Construir 1 sedes administrativas locales.</t>
  </si>
  <si>
    <t>Gestión pública local.</t>
  </si>
  <si>
    <t>Realizar 4 estrategias de fortalecimiento institucional.</t>
  </si>
  <si>
    <t>TOTAL RECURSOS</t>
  </si>
  <si>
    <t>flexible</t>
  </si>
  <si>
    <t>LÍNEA</t>
  </si>
  <si>
    <t>CONCEPTO DE GASTO</t>
  </si>
  <si>
    <t>Sistema Bogotá Solidaria (20%)</t>
  </si>
  <si>
    <t>Subsidio tipo C adulto mayor.</t>
  </si>
  <si>
    <t>Ingreso Mínimo Garantizado.</t>
  </si>
  <si>
    <t>Educación superior y primera infancia (10%)</t>
  </si>
  <si>
    <t>Apoyo para educación inicial.</t>
  </si>
  <si>
    <t>Desarrollo de la Economía Local.</t>
  </si>
  <si>
    <t>Programa Sistema Distrital de Cuidado.</t>
  </si>
  <si>
    <t>Reactivación y reconversión verde.</t>
  </si>
  <si>
    <t>Transformación productiva y formación de capacidades.</t>
  </si>
  <si>
    <t>Revitalización del corazón productivo de las localidades.</t>
  </si>
  <si>
    <t>Infraestructura.</t>
  </si>
  <si>
    <t>Dotación a Jardines Infantiles, Centros Amar y Forjar.</t>
  </si>
  <si>
    <t>Estrategias de cuidado para cuidadoras, cuidadores y a personas con discapacidad.</t>
  </si>
  <si>
    <t>Prevención y atención de violencia intrafamiliar y sexual para poblaciones en situaciones de riesgo y vulneración de derechos.</t>
  </si>
  <si>
    <t>Desarrollo social y cultural.</t>
  </si>
  <si>
    <t>Condiciones de salud.</t>
  </si>
  <si>
    <t>Acciones complementarias para personas en condición de discapacidad y sus cuidadores.</t>
  </si>
  <si>
    <t>Dispositivos de asistencia personal -DAP- Ayudas técnicas a personas con discapacidad (No incluidas en el POS).</t>
  </si>
  <si>
    <t>Reconocimiento de los saberes ancestrales en medicina.</t>
  </si>
  <si>
    <t>Acciones para la disminución de los factores de riesgo frente al consumo de sustancias psicoactivas.</t>
  </si>
  <si>
    <t>Coinversión en la estrategia territorial de salud.</t>
  </si>
  <si>
    <t>Prevención del embarazo en adolescentes.</t>
  </si>
  <si>
    <t>Dotación pedagógica a colegios.</t>
  </si>
  <si>
    <t>Educación superior y primera infancia (10%).</t>
  </si>
  <si>
    <t>Apoyo para educación superior.</t>
  </si>
  <si>
    <t>Ruralidad.</t>
  </si>
  <si>
    <t>Mejoramiento de vivienda rural.</t>
  </si>
  <si>
    <t>Eventos recreo-deportivos.</t>
  </si>
  <si>
    <t>Circulación y apropiación de prácticas artísticas, interculturales, culturales y patrimoniales.</t>
  </si>
  <si>
    <t>Iniciativas de interés cultural, artístico, patrimonial y recreo deportivas.</t>
  </si>
  <si>
    <t>Dotación e infraestructura cultural.</t>
  </si>
  <si>
    <t>Ruralidad</t>
  </si>
  <si>
    <t>Apoyo y fortalecimiento a las industrias culturales y creativas en las localidades.</t>
  </si>
  <si>
    <t>Inversiones ambientales sostenibles.</t>
  </si>
  <si>
    <t>Educación ambiental.</t>
  </si>
  <si>
    <t>Restauración ecológica urbana y/o rural.</t>
  </si>
  <si>
    <t>Manejo de emergencias y desastres.</t>
  </si>
  <si>
    <t xml:space="preserve">Mitigación del riesgo. </t>
  </si>
  <si>
    <t>Infraestructura</t>
  </si>
  <si>
    <t>Acuerdos con las redes locales de proteccionistas de animales para urgencias, brigadas médico veterinarias, acciones de esterilización, educación y adopción.</t>
  </si>
  <si>
    <t>Acueductos veredales y saneamiento básico.</t>
  </si>
  <si>
    <t>Cambios de hábitos de consumo, separación en la fuente y reciclaje.</t>
  </si>
  <si>
    <t>Energías alternativas para el área rural.</t>
  </si>
  <si>
    <t>Construcción de memoria, verdad, reparación, víctimas, paz y reconciliación.</t>
  </si>
  <si>
    <t>Construcción de ciudadanía y desarrollo de capacidades para el ejercicio de derechos de las mujeres.</t>
  </si>
  <si>
    <t>Prevención del feminicidio y la violencia contra la mujer.</t>
  </si>
  <si>
    <t>Promoción de la convivencia ciudadana.</t>
  </si>
  <si>
    <t>Acuerdos para mejorar el uso de medios de transporte no motorizados.</t>
  </si>
  <si>
    <t>Dotación para instancias de seguridad.</t>
  </si>
  <si>
    <t>Construcción y/o conservación de elementos del sistema de espacio público peatonal.</t>
  </si>
  <si>
    <t xml:space="preserve">Diseño, construcción y conservación (mantenimiento y rehabilitación) de la malla </t>
  </si>
  <si>
    <t>Transparencia, control social y rendición de cuentas del Gobierno Local.</t>
  </si>
  <si>
    <t>Participación Ciudadana y construcción de confianza.</t>
  </si>
  <si>
    <t>Conectividad y redes de comunicación.</t>
  </si>
  <si>
    <t>Participación ciudadana y construcción de confianza / Desarrollo social y cultural.</t>
  </si>
  <si>
    <t>Programa Gestión pública efectiva.</t>
  </si>
  <si>
    <t>Gestión pública local</t>
  </si>
  <si>
    <t>Terminación de infraestructuras (sedes administrativas locales).</t>
  </si>
  <si>
    <t>Fortalecimiento institucional.</t>
  </si>
  <si>
    <t>Inspección, vigilancia y control.</t>
  </si>
  <si>
    <t>COMPONENTE</t>
  </si>
  <si>
    <t>INFLEXIBLE</t>
  </si>
  <si>
    <t>PP</t>
  </si>
  <si>
    <t>FLEXIBLE</t>
  </si>
  <si>
    <t>Implementar 1 proyecto para el desarrollo integral de la primera infancia y la relación escuela, familia y comunidad.</t>
  </si>
  <si>
    <t>Suma</t>
  </si>
  <si>
    <t>Diferencia</t>
  </si>
  <si>
    <t>% suma</t>
  </si>
  <si>
    <t>Formar 600 personas en prevención de violencia intrafamiliar y/o violencia sexual.</t>
  </si>
  <si>
    <t>Procesos de formación y dotación de insumos para los campos artísticos, interculturales, culturales, patrimoniales y deportivos. (2561)</t>
  </si>
  <si>
    <t>Intervenir 8 hectáreas con procesos de restauración, rehabilitación o recuperación ecológica.</t>
  </si>
  <si>
    <t xml:space="preserve">Asistencia técnica agropecuaria y ambiental y productividad rural. </t>
  </si>
  <si>
    <r>
      <t xml:space="preserve">Realizar 5 </t>
    </r>
    <r>
      <rPr>
        <sz val="10"/>
        <color theme="1"/>
        <rFont val="Arial Narrow"/>
        <family val="2"/>
      </rPr>
      <t>acciones efectivas para el fortalecimiento de las capacidades locales para la respuesta a emergencias y desastres.</t>
    </r>
  </si>
  <si>
    <t>Arbolado urbano y/o rural.</t>
  </si>
  <si>
    <t>Plantar y/o Mantener 950 árboles urbanos y/o rurales.</t>
  </si>
  <si>
    <t>Construcción, mantenimiento y dotación de parques vecinales y/o de bolsillo. (1185)</t>
  </si>
  <si>
    <t>PPT 21-24</t>
  </si>
  <si>
    <t>Acceso a la Justicia. (596)</t>
  </si>
  <si>
    <r>
      <t>Beneficiar 150</t>
    </r>
    <r>
      <rPr>
        <sz val="10"/>
        <color rgb="FFC00000"/>
        <rFont val="Arial Narrow"/>
        <family val="2"/>
      </rPr>
      <t xml:space="preserve"> </t>
    </r>
    <r>
      <rPr>
        <sz val="10"/>
        <color theme="1"/>
        <rFont val="Arial Narrow"/>
        <family val="2"/>
      </rPr>
      <t>personas a través de estrategias para el fortalecimiento de los mecanismos de justicia comunitaria.</t>
    </r>
  </si>
  <si>
    <r>
      <t>Atender 200</t>
    </r>
    <r>
      <rPr>
        <sz val="10"/>
        <color rgb="FFC00000"/>
        <rFont val="Arial Narrow"/>
        <family val="2"/>
      </rPr>
      <t xml:space="preserve"> </t>
    </r>
    <r>
      <rPr>
        <sz val="10"/>
        <color rgb="FF000000"/>
        <rFont val="Arial Narrow"/>
        <family val="2"/>
      </rPr>
      <t xml:space="preserve">personas </t>
    </r>
    <r>
      <rPr>
        <sz val="10"/>
        <color theme="1"/>
        <rFont val="Arial Narrow"/>
        <family val="2"/>
      </rPr>
      <t>en estrategias de acceso a la justicia integral en la ciudad.</t>
    </r>
  </si>
  <si>
    <t>Intervención y dotación de salones comunales. (3436)</t>
  </si>
  <si>
    <t>NA</t>
  </si>
  <si>
    <t>INFLEXIBLE 45%</t>
  </si>
  <si>
    <t>PRESUPUESTOS PARTICIPATIVOS 50%</t>
  </si>
  <si>
    <t>IFLEXIBLE 5%</t>
  </si>
  <si>
    <t>Promover en 20 Mipymes y/o emprendimientos procesos de reconversión hacia actividades sostenibles.</t>
  </si>
  <si>
    <t>Promover en 100 Mipymes y/o emprendimientos la transformación empresarial y/o productiva.</t>
  </si>
  <si>
    <t>Revitalizar 100 Mipymes y/o emprendimientos potencializadas dentro de las aglomeraciones económicas que fomentan el empleo y/o nuevas actividades económicas.</t>
  </si>
  <si>
    <t>Vincular 500 mujeres cuidadoras a estrategias de cuidado.</t>
  </si>
  <si>
    <t>Dotar 18 sedes educativas rurales.</t>
  </si>
  <si>
    <t>Beneficiar 160 personas con apoyo para la educación superior.</t>
  </si>
  <si>
    <t>Beneficiar 160 estudiantes de programas de educación superior con apoyo de sostenimiento para la permanencia.</t>
  </si>
  <si>
    <t>Intervenir 2 sedes culturales con dotación y/o adecuación.</t>
  </si>
  <si>
    <t>Implementar 4 PROCEDAS.</t>
  </si>
  <si>
    <r>
      <t xml:space="preserve">Intervenir 1 </t>
    </r>
    <r>
      <rPr>
        <sz val="10"/>
        <color theme="1"/>
        <rFont val="Arial Narrow"/>
        <family val="2"/>
      </rPr>
      <t>Parques vecinales y/o de bolsillo con acciones de mejoramiento, mantenimiento y/o dotación.</t>
    </r>
  </si>
  <si>
    <t>Implementar 100 acciones enfocadas a consolidar el modelo de energías alternativas sostenible para Sumapaz.</t>
  </si>
  <si>
    <t xml:space="preserve">Atender 800 hogares con apoyos que contribuyan al ingreso mínimo garantizado. </t>
  </si>
  <si>
    <t>Beneficiar 100 personas con discapacidad a través de Dispositivos de Asistencia Personal - Ayudas Técnicas (no incluidas en los Planes de Beneficios).</t>
  </si>
  <si>
    <r>
      <t xml:space="preserve">Desarrollar 3 </t>
    </r>
    <r>
      <rPr>
        <sz val="10"/>
        <color theme="1"/>
        <rFont val="Arial Narrow"/>
        <family val="2"/>
      </rPr>
      <t>intervenciones  para la reducción del riesgo y adaptación al cambio climático.</t>
    </r>
  </si>
  <si>
    <r>
      <t xml:space="preserve">Construir 1500 </t>
    </r>
    <r>
      <rPr>
        <sz val="10"/>
        <color theme="1"/>
        <rFont val="Arial Narrow"/>
        <family val="2"/>
      </rPr>
      <t>m2 de Parque vecinales y/o de bolsillo (la construcción incluye su dotación). (Construir una chancha sintetica de 1500 M2)</t>
    </r>
  </si>
  <si>
    <r>
      <t xml:space="preserve">Fortalecer 50 </t>
    </r>
    <r>
      <rPr>
        <sz val="10"/>
        <color theme="1"/>
        <rFont val="Arial Narrow"/>
        <family val="2"/>
      </rPr>
      <t>Organizaciones, JAC e Instancias de participación ciudadana.</t>
    </r>
  </si>
  <si>
    <t>Realizar 20 acciones de inspección, vigilancia y control</t>
  </si>
  <si>
    <t>Intervenir 7 sedes de salones comunales.</t>
  </si>
  <si>
    <t>Construir 3 sedes de salones comunales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</si>
</sst>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* #,##0_-;\-* #,##0_-;_-* &quot;-&quot;??_-;_-@_-"/>
    <numFmt numFmtId="167" formatCode="_-&quot;$&quot;\ * #,##0_-;\-&quot;$&quot;\ * #,##0_-;_-&quot;$&quot;\ * &quot;-&quot;??_-;_-@_-"/>
    <numFmt numFmtId="168" formatCode="_-&quot;$&quot;\ * #,##0.00_-;\-&quot;$&quot;\ * #,##0.00_-;_-&quot;$&quot;\ 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sz val="10"/>
      <color rgb="FF000000"/>
      <name val="Arial Narrow"/>
      <family val="2"/>
    </font>
    <font>
      <sz val="10"/>
      <color rgb="FFC00000"/>
      <name val="Arial Narrow"/>
      <family val="2"/>
    </font>
    <font>
      <sz val="10"/>
      <name val="Arial Narrow"/>
      <family val="2"/>
    </font>
    <font>
      <b/>
      <sz val="14"/>
      <color theme="1"/>
      <name val="Calibri"/>
      <family val="2"/>
      <scheme val="minor"/>
    </font>
    <font>
      <b/>
      <sz val="10"/>
      <name val="Arial Narrow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right"/>
    </xf>
    <xf numFmtId="0" fontId="4" fillId="0" borderId="4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164" fontId="0" fillId="0" borderId="0" xfId="0" applyNumberFormat="1" applyFill="1"/>
    <xf numFmtId="10" fontId="4" fillId="0" borderId="4" xfId="4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vertical="center" wrapText="1"/>
    </xf>
    <xf numFmtId="10" fontId="3" fillId="0" borderId="4" xfId="4" applyNumberFormat="1" applyFont="1" applyFill="1" applyBorder="1" applyAlignment="1">
      <alignment vertical="center" wrapText="1"/>
    </xf>
    <xf numFmtId="1" fontId="0" fillId="0" borderId="0" xfId="0" applyNumberFormat="1" applyFill="1"/>
    <xf numFmtId="1" fontId="4" fillId="0" borderId="4" xfId="0" applyNumberFormat="1" applyFont="1" applyFill="1" applyBorder="1" applyAlignment="1">
      <alignment horizontal="right" vertical="center" wrapText="1"/>
    </xf>
    <xf numFmtId="10" fontId="0" fillId="0" borderId="0" xfId="4" applyNumberFormat="1" applyFont="1" applyFill="1"/>
    <xf numFmtId="166" fontId="4" fillId="0" borderId="4" xfId="1" applyNumberFormat="1" applyFont="1" applyFill="1" applyBorder="1" applyAlignment="1">
      <alignment horizontal="right" vertical="center" wrapText="1"/>
    </xf>
    <xf numFmtId="166" fontId="4" fillId="0" borderId="4" xfId="0" applyNumberFormat="1" applyFont="1" applyFill="1" applyBorder="1" applyAlignment="1">
      <alignment horizontal="right" vertical="center" wrapText="1"/>
    </xf>
    <xf numFmtId="10" fontId="0" fillId="0" borderId="0" xfId="0" applyNumberFormat="1" applyFill="1"/>
    <xf numFmtId="0" fontId="4" fillId="0" borderId="0" xfId="0" applyFont="1" applyFill="1" applyAlignment="1">
      <alignment horizontal="right" vertical="center" wrapText="1"/>
    </xf>
    <xf numFmtId="0" fontId="3" fillId="0" borderId="4" xfId="0" applyFont="1" applyFill="1" applyBorder="1" applyAlignment="1">
      <alignment horizontal="justify" vertical="center" wrapText="1"/>
    </xf>
    <xf numFmtId="167" fontId="3" fillId="0" borderId="4" xfId="2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64" fontId="5" fillId="0" borderId="4" xfId="3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5" fillId="0" borderId="0" xfId="3" applyFont="1" applyFill="1" applyBorder="1" applyAlignment="1">
      <alignment horizontal="center" vertical="center"/>
    </xf>
    <xf numFmtId="168" fontId="0" fillId="0" borderId="0" xfId="0" applyNumberFormat="1" applyFill="1"/>
    <xf numFmtId="0" fontId="10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11" fillId="0" borderId="4" xfId="0" applyFont="1" applyFill="1" applyBorder="1" applyAlignment="1">
      <alignment horizontal="center" vertical="center"/>
    </xf>
    <xf numFmtId="166" fontId="5" fillId="0" borderId="4" xfId="1" applyNumberFormat="1" applyFont="1" applyFill="1" applyBorder="1" applyAlignment="1">
      <alignment horizontal="center" vertical="center"/>
    </xf>
    <xf numFmtId="166" fontId="9" fillId="0" borderId="4" xfId="1" applyNumberFormat="1" applyFont="1" applyFill="1" applyBorder="1" applyAlignment="1">
      <alignment horizontal="center" vertical="center"/>
    </xf>
    <xf numFmtId="166" fontId="0" fillId="0" borderId="4" xfId="1" applyNumberFormat="1" applyFont="1" applyBorder="1" applyAlignment="1">
      <alignment horizontal="center" vertical="center"/>
    </xf>
    <xf numFmtId="166" fontId="3" fillId="0" borderId="4" xfId="1" applyNumberFormat="1" applyFont="1" applyFill="1" applyBorder="1" applyAlignment="1">
      <alignment vertical="center" wrapText="1"/>
    </xf>
    <xf numFmtId="166" fontId="0" fillId="0" borderId="0" xfId="0" applyNumberFormat="1"/>
    <xf numFmtId="167" fontId="0" fillId="0" borderId="0" xfId="0" applyNumberFormat="1"/>
    <xf numFmtId="167" fontId="0" fillId="0" borderId="0" xfId="0" applyNumberFormat="1" applyFill="1"/>
    <xf numFmtId="2" fontId="0" fillId="0" borderId="0" xfId="0" applyNumberFormat="1" applyFill="1"/>
    <xf numFmtId="0" fontId="4" fillId="0" borderId="4" xfId="0" applyFont="1" applyFill="1" applyBorder="1" applyAlignment="1">
      <alignment horizontal="justify" vertical="center" wrapText="1"/>
    </xf>
    <xf numFmtId="0" fontId="12" fillId="0" borderId="0" xfId="0" applyFont="1" applyFill="1"/>
    <xf numFmtId="0" fontId="4" fillId="2" borderId="4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justify" vertical="center" wrapText="1"/>
    </xf>
    <xf numFmtId="166" fontId="4" fillId="2" borderId="4" xfId="1" applyNumberFormat="1" applyFont="1" applyFill="1" applyBorder="1" applyAlignment="1">
      <alignment horizontal="right" vertical="center" wrapText="1"/>
    </xf>
    <xf numFmtId="166" fontId="4" fillId="2" borderId="4" xfId="0" applyNumberFormat="1" applyFont="1" applyFill="1" applyBorder="1" applyAlignment="1">
      <alignment horizontal="right" vertical="center" wrapText="1"/>
    </xf>
    <xf numFmtId="10" fontId="4" fillId="2" borderId="4" xfId="4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Porcentaje" xfId="4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/Users/shernandez/Desktop/VISOR%20MUSI%2031%20DE%20MARZO%202019%2007%20DESBLOQUEAD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romedio Sector"/>
      <sheetName val="Base de Datos MUSI 2017-2020"/>
      <sheetName val="Inf Ejec"/>
      <sheetName val="NomLocIE"/>
      <sheetName val="PMR"/>
      <sheetName val="NomLocPMR"/>
      <sheetName val="Dashboard"/>
      <sheetName val="INFORME INDICADOR SECTORIAL"/>
      <sheetName val="LINEA DE TIEMPO"/>
      <sheetName val="DBO1"/>
      <sheetName val="DB02"/>
      <sheetName val="DB03"/>
      <sheetName val="DB04"/>
      <sheetName val="DB05"/>
      <sheetName val="DB06"/>
      <sheetName val="DB07"/>
      <sheetName val="DB08"/>
      <sheetName val="DB09"/>
      <sheetName val="DB10"/>
      <sheetName val="DB11"/>
      <sheetName val="DB12"/>
      <sheetName val="AGREGACION"/>
      <sheetName val="AI1"/>
      <sheetName val="AI2"/>
      <sheetName val="ATotal"/>
      <sheetName val="AP1"/>
      <sheetName val="AP2"/>
      <sheetName val="AP3"/>
      <sheetName val="AE5"/>
      <sheetName val="AE6"/>
      <sheetName val="AE7"/>
      <sheetName val="IA03"/>
      <sheetName val="Entregables (2)"/>
      <sheetName val="Indicadores agregados"/>
      <sheetName val="listas"/>
      <sheetName val="Protocolo MUS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16">
          <cell r="S216" t="str">
            <v>Jardines infantiles adecuados</v>
          </cell>
        </row>
        <row r="217">
          <cell r="S217" t="str">
            <v>Jardines infantiles dotados</v>
          </cell>
        </row>
        <row r="218">
          <cell r="S218" t="str">
            <v>Personas vinculadas a acciones de promoción del buen trato infantil</v>
          </cell>
        </row>
        <row r="219">
          <cell r="S219" t="str">
            <v>Personas con subsidio tipo C  beneficiadas</v>
          </cell>
        </row>
        <row r="220">
          <cell r="S220" t="str">
            <v xml:space="preserve"> Personas beneficiadas con ayudas técnicas no POS </v>
          </cell>
        </row>
        <row r="221">
          <cell r="S221" t="str">
            <v xml:space="preserve"> Obras de mitigación de riesgo realizadas  </v>
          </cell>
        </row>
        <row r="222">
          <cell r="S222" t="str">
            <v>IED dotados con material pedagógico</v>
          </cell>
        </row>
        <row r="223">
          <cell r="S223" t="str">
            <v>Eventos artísticos y culturales realizados</v>
          </cell>
        </row>
        <row r="224">
          <cell r="S224" t="str">
            <v>Eventos de recreación y deporte realizados</v>
          </cell>
        </row>
        <row r="225">
          <cell r="S225" t="str">
            <v>Personas vinculadas a procesos de  formación artística y cultural</v>
          </cell>
        </row>
        <row r="226">
          <cell r="S226" t="str">
            <v>Personas vinculadas a procesos de  formación deportiva</v>
          </cell>
        </row>
        <row r="227">
          <cell r="S227" t="str">
            <v xml:space="preserve">Demandas  de titulación predial presentadas </v>
          </cell>
        </row>
        <row r="228">
          <cell r="S228" t="str">
            <v xml:space="preserve">Estudios preliminares para la regularización urbanística (levantamiento topográficos y análisis de los mismos)  a asentamientos de origen informal previamente legalizados y priorizados en los territorios diagnosticados por la SDHT
</v>
          </cell>
        </row>
        <row r="229">
          <cell r="S229" t="str">
            <v>Parques vecinales y/o de bolsillo construidos</v>
          </cell>
        </row>
        <row r="230">
          <cell r="S230" t="str">
            <v>Parques vecinales y/o de bolsillo intervenidos</v>
          </cell>
        </row>
        <row r="231">
          <cell r="S231" t="str">
            <v xml:space="preserve"> Km/carril de malla vial rural construidos </v>
          </cell>
        </row>
        <row r="232">
          <cell r="S232" t="str">
            <v>Km/carril de malla vial local construido</v>
          </cell>
        </row>
        <row r="233">
          <cell r="S233" t="str">
            <v>Km/carril de malla vial local mantenido</v>
          </cell>
        </row>
        <row r="234">
          <cell r="S234" t="str">
            <v>Km/carril de malla vial rural mantenidos</v>
          </cell>
        </row>
        <row r="235">
          <cell r="S235" t="str">
            <v>m2 de espacio público construidos</v>
          </cell>
        </row>
        <row r="236">
          <cell r="S236" t="str">
            <v>m2 de espacio público mantenidos</v>
          </cell>
        </row>
        <row r="237">
          <cell r="S237" t="str">
            <v>Puentes vehiculares y/o peatonales, de escala local sobre cuerpos de agua intervenidos</v>
          </cell>
        </row>
        <row r="238">
          <cell r="S238" t="str">
            <v>Dotaciones para seguridad realizadas</v>
          </cell>
        </row>
        <row r="239">
          <cell r="S239" t="str">
            <v>Personas vinculadas a ejercicios de convivencia ciudadana</v>
          </cell>
        </row>
        <row r="240">
          <cell r="S240" t="str">
            <v>Líneas telefónicas satelitales instaladas y/o mantenidas</v>
          </cell>
        </row>
        <row r="241">
          <cell r="S241" t="str">
            <v>Portales interactivos con operación sostenible garantizada</v>
          </cell>
        </row>
        <row r="242">
          <cell r="S242" t="str">
            <v>Arboles sembrados o intervenidos</v>
          </cell>
        </row>
        <row r="243">
          <cell r="S243" t="str">
            <v>Hectáreas de espacio público intervenidas  con acciones de renaturalización y/o ecourbanismo</v>
          </cell>
        </row>
        <row r="244">
          <cell r="S244" t="str">
            <v>m2 de espacio público intervenidos con acciones de jardinería, muros verdes y/o paisajismo</v>
          </cell>
        </row>
        <row r="245">
          <cell r="S245" t="str">
            <v>Personas beneficiadas a través de emprendimientos rurales</v>
          </cell>
        </row>
        <row r="246">
          <cell r="S246" t="str">
            <v>Personas beneficiadas con acciones de asesoría técnica agropecuaria y/o asistencia en tecnologías ambientales sostenibles</v>
          </cell>
        </row>
        <row r="247">
          <cell r="S247" t="str">
            <v>Ediles con pago de honorarios cubierto</v>
          </cell>
        </row>
        <row r="248">
          <cell r="S248" t="str">
            <v>Estrategias de fortalecimiento institucional realizadas</v>
          </cell>
        </row>
        <row r="249">
          <cell r="S249" t="str">
            <v>Acciones de inspección, vigilancia y control realizadas</v>
          </cell>
        </row>
        <row r="250">
          <cell r="S250" t="str">
            <v>Organizaciones, instancias y expresiones sociales ciudadanas fortalecidas para la participación</v>
          </cell>
        </row>
        <row r="251">
          <cell r="S251" t="str">
            <v>Personas vinculadas a procesos de participación ciudadana y/o control social</v>
          </cell>
        </row>
        <row r="252">
          <cell r="S252" t="str">
            <v>Sede administrativa local adecuada</v>
          </cell>
        </row>
        <row r="253">
          <cell r="S253" t="str">
            <v>Camión de bomberos adquirido</v>
          </cell>
        </row>
        <row r="254">
          <cell r="S254" t="str">
            <v>Estrategias integrales para la prevención del riesgo natural y antrópico realizadas</v>
          </cell>
        </row>
        <row r="255">
          <cell r="S255" t="str">
            <v>Personas formadas en  hotelería y turismo y/o ecoturismo y/o comunicación y mercadeo y/o publicidad y/o administración e ingles</v>
          </cell>
        </row>
        <row r="256">
          <cell r="S256" t="str">
            <v>Personas vinculadas a procesos integrales en materia de paz y reconciliación</v>
          </cell>
        </row>
        <row r="257">
          <cell r="S257" t="str">
            <v>Casas de la participación ciudadana  local acondicionadas</v>
          </cell>
        </row>
        <row r="258">
          <cell r="S258" t="str">
            <v>Niños y niñas vinculados a estrategias orientadas a la atención nutricional y prevención de enfermedades prevalentes de la primera infancia</v>
          </cell>
        </row>
        <row r="259">
          <cell r="S259" t="str">
            <v>Construcciones de planteles educativos apoyadas</v>
          </cell>
        </row>
        <row r="260">
          <cell r="S260" t="str">
            <v>CAIs construidos y dotados</v>
          </cell>
        </row>
        <row r="261">
          <cell r="S261" t="str">
            <v>Personas vinculadas en acciones contra la violencia y discriminación de la mujer</v>
          </cell>
        </row>
        <row r="262">
          <cell r="S262" t="str">
            <v>Jóvenes con acciones de ampliación de oportunidades de generación de ingresos y de estabilidad económica beneficiados</v>
          </cell>
        </row>
        <row r="263">
          <cell r="S263" t="str">
            <v>Procesos de recolección y clasificación de residuos sólidos aprovechables implementados</v>
          </cell>
        </row>
        <row r="264">
          <cell r="S264" t="str">
            <v>Centros de Atención Inmediata 
adquiridos y/o construidos</v>
          </cell>
        </row>
        <row r="265">
          <cell r="S265" t="str">
            <v>Estrategias para el fortalecimiento de la apropiación de las TIC implementadas</v>
          </cell>
        </row>
        <row r="266">
          <cell r="S266" t="str">
            <v>Cupos de Educación Técnica, Tecnológica y profesional promovidos</v>
          </cell>
        </row>
        <row r="267">
          <cell r="S267" t="str">
            <v>Procesos de reconocimiento e identificación de necesidades  y acciones para la legalización y funcionamiento de acueductos veredales durante la vigencia  del Plan</v>
          </cell>
        </row>
        <row r="268">
          <cell r="S268" t="str">
            <v>Personas beneficiadas</v>
          </cell>
        </row>
        <row r="269">
          <cell r="S269" t="str">
            <v>Personas beneficiadas en estrategias para el cierre de brechas de género</v>
          </cell>
        </row>
        <row r="270">
          <cell r="S270" t="str">
            <v>Personas vinculadas en el proyecto estratégico ecoturístico de conservación ambiental</v>
          </cell>
        </row>
        <row r="271">
          <cell r="S271" t="str">
            <v>Acciones realizadas para el desarrollo de segmentos, actividades, productos y/o servicios turísticos</v>
          </cell>
        </row>
        <row r="272">
          <cell r="S272" t="str">
            <v>Acciones de protección animal realizadas</v>
          </cell>
        </row>
        <row r="273">
          <cell r="S273" t="str">
            <v>Estrategias  implementadas del plan de acción de la política de bienestar animal</v>
          </cell>
        </row>
        <row r="274">
          <cell r="S274" t="str">
            <v>Acciones de agricultura urbana implementadas</v>
          </cell>
        </row>
        <row r="275">
          <cell r="S275" t="str">
            <v>Salones comunales intervenidos</v>
          </cell>
        </row>
      </sheetData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95C0C-BD19-4DA9-806A-D62AFCDBBE7E}">
  <sheetPr filterMode="1"/>
  <dimension ref="A1:R93"/>
  <sheetViews>
    <sheetView tabSelected="1" zoomScale="80" zoomScaleNormal="80" workbookViewId="0">
      <pane xSplit="4" ySplit="2" topLeftCell="E30" activePane="bottomRight" state="frozen"/>
      <selection pane="topRight" activeCell="D1" sqref="D1"/>
      <selection pane="bottomLeft" activeCell="A3" sqref="A3"/>
      <selection pane="bottomRight" activeCell="D44" sqref="D44"/>
    </sheetView>
  </sheetViews>
  <sheetFormatPr baseColWidth="10" defaultRowHeight="15" x14ac:dyDescent="0.2"/>
  <cols>
    <col min="1" max="1" width="15" customWidth="1"/>
    <col min="2" max="2" width="14" customWidth="1"/>
    <col min="3" max="3" width="15.83203125" customWidth="1"/>
    <col min="4" max="4" width="24.5" customWidth="1"/>
    <col min="5" max="5" width="12.6640625" style="1" customWidth="1"/>
    <col min="6" max="6" width="54.33203125" customWidth="1"/>
    <col min="7" max="10" width="11.33203125" bestFit="1" customWidth="1"/>
    <col min="11" max="11" width="15.1640625" customWidth="1"/>
    <col min="12" max="12" width="8.83203125" customWidth="1"/>
    <col min="14" max="14" width="20" hidden="1" customWidth="1"/>
    <col min="15" max="15" width="0" hidden="1" customWidth="1"/>
  </cols>
  <sheetData>
    <row r="1" spans="1:14" s="5" customFormat="1" x14ac:dyDescent="0.2">
      <c r="E1" s="6"/>
      <c r="F1" s="9"/>
      <c r="G1" s="47" t="s">
        <v>0</v>
      </c>
      <c r="H1" s="48"/>
      <c r="I1" s="48"/>
      <c r="J1" s="48"/>
      <c r="K1" s="48"/>
      <c r="L1" s="49"/>
    </row>
    <row r="2" spans="1:14" s="5" customFormat="1" ht="42" customHeight="1" x14ac:dyDescent="0.2">
      <c r="A2" s="26" t="s">
        <v>1</v>
      </c>
      <c r="B2" s="26" t="s">
        <v>138</v>
      </c>
      <c r="C2" s="26" t="s">
        <v>76</v>
      </c>
      <c r="D2" s="26" t="s">
        <v>77</v>
      </c>
      <c r="E2" s="26" t="s">
        <v>154</v>
      </c>
      <c r="F2" s="26" t="s">
        <v>2</v>
      </c>
      <c r="G2" s="26">
        <v>2021</v>
      </c>
      <c r="H2" s="26">
        <v>2022</v>
      </c>
      <c r="I2" s="26">
        <v>2023</v>
      </c>
      <c r="J2" s="26">
        <v>2024</v>
      </c>
      <c r="K2" s="26" t="s">
        <v>3</v>
      </c>
      <c r="L2" s="26" t="s">
        <v>4</v>
      </c>
    </row>
    <row r="3" spans="1:14" s="5" customFormat="1" ht="112" hidden="1" x14ac:dyDescent="0.2">
      <c r="A3" s="10" t="s">
        <v>5</v>
      </c>
      <c r="B3" s="10" t="s">
        <v>5</v>
      </c>
      <c r="C3" s="10" t="s">
        <v>5</v>
      </c>
      <c r="D3" s="10" t="s">
        <v>5</v>
      </c>
      <c r="E3" s="10" t="s">
        <v>159</v>
      </c>
      <c r="F3" s="10" t="s">
        <v>5</v>
      </c>
      <c r="G3" s="32">
        <f>+SUM(G4:G31)</f>
        <v>16001</v>
      </c>
      <c r="H3" s="32">
        <f>+SUM(H4:H31)</f>
        <v>17033.400000000001</v>
      </c>
      <c r="I3" s="32">
        <f>+SUM(I4:I31)</f>
        <v>17559.300729999999</v>
      </c>
      <c r="J3" s="32">
        <f>+SUM(J4:J31)</f>
        <v>19736</v>
      </c>
      <c r="K3" s="32">
        <f>+SUM(K4:K31)</f>
        <v>70330</v>
      </c>
      <c r="L3" s="11">
        <f t="shared" ref="L3:L34" si="0">+K3/$K$72</f>
        <v>0.5270017665109703</v>
      </c>
    </row>
    <row r="4" spans="1:14" s="5" customFormat="1" ht="28" hidden="1" x14ac:dyDescent="0.2">
      <c r="A4" s="46" t="s">
        <v>6</v>
      </c>
      <c r="B4" s="37" t="s">
        <v>139</v>
      </c>
      <c r="C4" s="37" t="s">
        <v>78</v>
      </c>
      <c r="D4" s="37" t="s">
        <v>79</v>
      </c>
      <c r="E4" s="2">
        <v>2263</v>
      </c>
      <c r="F4" s="37" t="s">
        <v>7</v>
      </c>
      <c r="G4" s="2">
        <v>530</v>
      </c>
      <c r="H4" s="2">
        <v>544</v>
      </c>
      <c r="I4" s="13">
        <v>605.25</v>
      </c>
      <c r="J4" s="2">
        <v>740</v>
      </c>
      <c r="K4" s="2">
        <f>ROUND(SUM(G4:J4),0)</f>
        <v>2419</v>
      </c>
      <c r="L4" s="8">
        <f t="shared" si="0"/>
        <v>1.8126223136499888E-2</v>
      </c>
      <c r="N4" s="36">
        <f>+ROUND(SUM(G4:J4),2)</f>
        <v>2419.25</v>
      </c>
    </row>
    <row r="5" spans="1:14" s="5" customFormat="1" ht="41.25" hidden="1" customHeight="1" x14ac:dyDescent="0.2">
      <c r="A5" s="46"/>
      <c r="B5" s="37" t="s">
        <v>139</v>
      </c>
      <c r="C5" s="37" t="s">
        <v>78</v>
      </c>
      <c r="D5" s="37" t="s">
        <v>80</v>
      </c>
      <c r="E5" s="2">
        <v>24500</v>
      </c>
      <c r="F5" s="37" t="s">
        <v>174</v>
      </c>
      <c r="G5" s="2">
        <v>5861</v>
      </c>
      <c r="H5" s="13">
        <v>6036</v>
      </c>
      <c r="I5" s="13">
        <v>6186</v>
      </c>
      <c r="J5" s="13">
        <v>6261</v>
      </c>
      <c r="K5" s="2">
        <f t="shared" ref="K5:K31" si="1">ROUND(SUM(G5:J5),0)</f>
        <v>24344</v>
      </c>
      <c r="L5" s="8">
        <f t="shared" si="0"/>
        <v>0.1824161951364007</v>
      </c>
      <c r="M5" s="14"/>
      <c r="N5" s="36">
        <f t="shared" ref="N5:N31" si="2">+ROUND(SUM(G5:J5),2)</f>
        <v>24344</v>
      </c>
    </row>
    <row r="6" spans="1:14" s="5" customFormat="1" ht="42" hidden="1" x14ac:dyDescent="0.2">
      <c r="A6" s="37" t="s">
        <v>9</v>
      </c>
      <c r="B6" s="37" t="s">
        <v>139</v>
      </c>
      <c r="C6" s="37" t="s">
        <v>81</v>
      </c>
      <c r="D6" s="37" t="s">
        <v>82</v>
      </c>
      <c r="E6" s="2">
        <v>549</v>
      </c>
      <c r="F6" s="37" t="s">
        <v>142</v>
      </c>
      <c r="G6" s="15">
        <v>130</v>
      </c>
      <c r="H6" s="16">
        <f>+(G6*3%)+G6</f>
        <v>133.9</v>
      </c>
      <c r="I6" s="16">
        <f>+(H6*3.07%)+H6</f>
        <v>138.01073</v>
      </c>
      <c r="J6" s="2">
        <v>147</v>
      </c>
      <c r="K6" s="2">
        <f t="shared" si="1"/>
        <v>549</v>
      </c>
      <c r="L6" s="8">
        <f t="shared" si="0"/>
        <v>4.1138059123350303E-3</v>
      </c>
      <c r="N6" s="36">
        <f t="shared" si="2"/>
        <v>548.91</v>
      </c>
    </row>
    <row r="7" spans="1:14" s="5" customFormat="1" ht="28" hidden="1" x14ac:dyDescent="0.2">
      <c r="A7" s="50" t="s">
        <v>84</v>
      </c>
      <c r="B7" s="37" t="s">
        <v>140</v>
      </c>
      <c r="C7" s="37" t="s">
        <v>83</v>
      </c>
      <c r="D7" s="37" t="s">
        <v>85</v>
      </c>
      <c r="E7" s="2">
        <v>304</v>
      </c>
      <c r="F7" s="37" t="s">
        <v>163</v>
      </c>
      <c r="G7" s="15">
        <v>0</v>
      </c>
      <c r="H7" s="15">
        <v>0</v>
      </c>
      <c r="I7" s="15">
        <v>304</v>
      </c>
      <c r="J7" s="15">
        <v>0</v>
      </c>
      <c r="K7" s="15">
        <f t="shared" si="1"/>
        <v>304</v>
      </c>
      <c r="L7" s="8">
        <f t="shared" si="0"/>
        <v>2.2779544578321481E-3</v>
      </c>
      <c r="N7" s="36">
        <f t="shared" si="2"/>
        <v>304</v>
      </c>
    </row>
    <row r="8" spans="1:14" s="5" customFormat="1" ht="28" hidden="1" x14ac:dyDescent="0.2">
      <c r="A8" s="51"/>
      <c r="B8" s="37" t="s">
        <v>140</v>
      </c>
      <c r="C8" s="37" t="s">
        <v>83</v>
      </c>
      <c r="D8" s="37" t="s">
        <v>86</v>
      </c>
      <c r="E8" s="2">
        <v>1340</v>
      </c>
      <c r="F8" s="37" t="s">
        <v>164</v>
      </c>
      <c r="G8" s="15">
        <v>335</v>
      </c>
      <c r="H8" s="15">
        <v>335</v>
      </c>
      <c r="I8" s="15">
        <v>335</v>
      </c>
      <c r="J8" s="15">
        <v>335</v>
      </c>
      <c r="K8" s="15">
        <f t="shared" si="1"/>
        <v>1340</v>
      </c>
      <c r="L8" s="8">
        <f t="shared" si="0"/>
        <v>1.0040983465444336E-2</v>
      </c>
      <c r="N8" s="36">
        <f t="shared" si="2"/>
        <v>1340</v>
      </c>
    </row>
    <row r="9" spans="1:14" s="5" customFormat="1" ht="42" hidden="1" x14ac:dyDescent="0.2">
      <c r="A9" s="51"/>
      <c r="B9" s="37" t="s">
        <v>140</v>
      </c>
      <c r="C9" s="37" t="s">
        <v>83</v>
      </c>
      <c r="D9" s="37" t="s">
        <v>87</v>
      </c>
      <c r="E9" s="2">
        <v>750</v>
      </c>
      <c r="F9" s="37" t="s">
        <v>165</v>
      </c>
      <c r="G9" s="15">
        <v>250</v>
      </c>
      <c r="H9" s="15">
        <v>250</v>
      </c>
      <c r="I9" s="15">
        <v>250</v>
      </c>
      <c r="J9" s="15">
        <v>0</v>
      </c>
      <c r="K9" s="15">
        <f t="shared" si="1"/>
        <v>750</v>
      </c>
      <c r="L9" s="8">
        <f t="shared" si="0"/>
        <v>5.6199534321516812E-3</v>
      </c>
      <c r="N9" s="36">
        <f t="shared" si="2"/>
        <v>750</v>
      </c>
    </row>
    <row r="10" spans="1:14" s="5" customFormat="1" ht="28" hidden="1" x14ac:dyDescent="0.2">
      <c r="A10" s="51"/>
      <c r="B10" s="37" t="s">
        <v>140</v>
      </c>
      <c r="C10" s="37" t="s">
        <v>88</v>
      </c>
      <c r="D10" s="37" t="s">
        <v>89</v>
      </c>
      <c r="E10" s="2">
        <v>0</v>
      </c>
      <c r="F10" s="37" t="s">
        <v>10</v>
      </c>
      <c r="G10" s="15">
        <v>0</v>
      </c>
      <c r="H10" s="15">
        <v>0</v>
      </c>
      <c r="I10" s="15">
        <v>0</v>
      </c>
      <c r="J10" s="15">
        <v>204</v>
      </c>
      <c r="K10" s="15">
        <f t="shared" si="1"/>
        <v>204</v>
      </c>
      <c r="L10" s="8">
        <f t="shared" si="0"/>
        <v>1.5286273335452572E-3</v>
      </c>
      <c r="N10" s="36">
        <f t="shared" si="2"/>
        <v>204</v>
      </c>
    </row>
    <row r="11" spans="1:14" s="5" customFormat="1" ht="42" hidden="1" x14ac:dyDescent="0.2">
      <c r="A11" s="51"/>
      <c r="B11" s="37" t="s">
        <v>140</v>
      </c>
      <c r="C11" s="37" t="s">
        <v>92</v>
      </c>
      <c r="D11" s="37" t="s">
        <v>90</v>
      </c>
      <c r="E11" s="2">
        <v>2204</v>
      </c>
      <c r="F11" s="37" t="s">
        <v>166</v>
      </c>
      <c r="G11" s="15">
        <v>551</v>
      </c>
      <c r="H11" s="15">
        <v>551</v>
      </c>
      <c r="I11" s="15">
        <v>551</v>
      </c>
      <c r="J11" s="15">
        <v>551</v>
      </c>
      <c r="K11" s="15">
        <f t="shared" si="1"/>
        <v>2204</v>
      </c>
      <c r="L11" s="8">
        <f t="shared" si="0"/>
        <v>1.6515169819283072E-2</v>
      </c>
      <c r="N11" s="36">
        <f t="shared" si="2"/>
        <v>2204</v>
      </c>
    </row>
    <row r="12" spans="1:14" s="5" customFormat="1" ht="56" hidden="1" x14ac:dyDescent="0.2">
      <c r="A12" s="51"/>
      <c r="B12" s="37" t="s">
        <v>140</v>
      </c>
      <c r="C12" s="37" t="s">
        <v>92</v>
      </c>
      <c r="D12" s="37" t="s">
        <v>91</v>
      </c>
      <c r="E12" s="2">
        <v>941</v>
      </c>
      <c r="F12" s="37" t="s">
        <v>146</v>
      </c>
      <c r="G12" s="15">
        <v>236</v>
      </c>
      <c r="H12" s="15">
        <v>235</v>
      </c>
      <c r="I12" s="15">
        <v>235</v>
      </c>
      <c r="J12" s="15">
        <v>235</v>
      </c>
      <c r="K12" s="15">
        <f t="shared" si="1"/>
        <v>941</v>
      </c>
      <c r="L12" s="8">
        <f t="shared" si="0"/>
        <v>7.0511682395396425E-3</v>
      </c>
      <c r="N12" s="36">
        <f t="shared" si="2"/>
        <v>941</v>
      </c>
    </row>
    <row r="13" spans="1:14" s="5" customFormat="1" ht="42" hidden="1" x14ac:dyDescent="0.2">
      <c r="A13" s="51"/>
      <c r="B13" s="37" t="s">
        <v>141</v>
      </c>
      <c r="C13" s="37" t="s">
        <v>93</v>
      </c>
      <c r="D13" s="37" t="s">
        <v>94</v>
      </c>
      <c r="E13" s="37">
        <v>550</v>
      </c>
      <c r="F13" s="37" t="s">
        <v>11</v>
      </c>
      <c r="G13" s="2">
        <v>138</v>
      </c>
      <c r="H13" s="2">
        <v>138</v>
      </c>
      <c r="I13" s="2">
        <v>137</v>
      </c>
      <c r="J13" s="2">
        <v>137</v>
      </c>
      <c r="K13" s="2">
        <f t="shared" si="1"/>
        <v>550</v>
      </c>
      <c r="L13" s="8">
        <f t="shared" si="0"/>
        <v>4.1212991835778996E-3</v>
      </c>
      <c r="N13" s="36">
        <f t="shared" si="2"/>
        <v>550</v>
      </c>
    </row>
    <row r="14" spans="1:14" s="5" customFormat="1" ht="56" hidden="1" x14ac:dyDescent="0.2">
      <c r="A14" s="51"/>
      <c r="B14" s="37" t="s">
        <v>141</v>
      </c>
      <c r="C14" s="37" t="s">
        <v>93</v>
      </c>
      <c r="D14" s="37" t="s">
        <v>95</v>
      </c>
      <c r="E14" s="37">
        <v>576</v>
      </c>
      <c r="F14" s="3" t="s">
        <v>175</v>
      </c>
      <c r="G14" s="2">
        <v>125</v>
      </c>
      <c r="H14" s="2">
        <v>125</v>
      </c>
      <c r="I14" s="2">
        <v>125</v>
      </c>
      <c r="J14" s="2">
        <v>125</v>
      </c>
      <c r="K14" s="2">
        <f t="shared" si="1"/>
        <v>500</v>
      </c>
      <c r="L14" s="8">
        <f t="shared" si="0"/>
        <v>3.7466356214344541E-3</v>
      </c>
      <c r="M14" s="12"/>
      <c r="N14" s="36">
        <f t="shared" si="2"/>
        <v>500</v>
      </c>
    </row>
    <row r="15" spans="1:14" s="5" customFormat="1" ht="28" hidden="1" x14ac:dyDescent="0.2">
      <c r="A15" s="51"/>
      <c r="B15" s="37" t="s">
        <v>141</v>
      </c>
      <c r="C15" s="37" t="s">
        <v>93</v>
      </c>
      <c r="D15" s="37" t="s">
        <v>96</v>
      </c>
      <c r="E15" s="37">
        <v>126</v>
      </c>
      <c r="F15" s="3" t="s">
        <v>14</v>
      </c>
      <c r="G15" s="2">
        <v>32</v>
      </c>
      <c r="H15" s="2">
        <v>32</v>
      </c>
      <c r="I15" s="2">
        <v>31</v>
      </c>
      <c r="J15" s="2">
        <v>31</v>
      </c>
      <c r="K15" s="2">
        <f t="shared" si="1"/>
        <v>126</v>
      </c>
      <c r="L15" s="8">
        <f t="shared" si="0"/>
        <v>9.4415217660148243E-4</v>
      </c>
      <c r="N15" s="36">
        <f t="shared" si="2"/>
        <v>126</v>
      </c>
    </row>
    <row r="16" spans="1:14" s="5" customFormat="1" ht="56" hidden="1" x14ac:dyDescent="0.2">
      <c r="A16" s="51"/>
      <c r="B16" s="37" t="s">
        <v>141</v>
      </c>
      <c r="C16" s="37" t="s">
        <v>93</v>
      </c>
      <c r="D16" s="37" t="s">
        <v>97</v>
      </c>
      <c r="E16" s="37">
        <v>850</v>
      </c>
      <c r="F16" s="37" t="s">
        <v>15</v>
      </c>
      <c r="G16" s="2">
        <v>187</v>
      </c>
      <c r="H16" s="2">
        <v>187</v>
      </c>
      <c r="I16" s="2">
        <v>187</v>
      </c>
      <c r="J16" s="2">
        <v>189</v>
      </c>
      <c r="K16" s="2">
        <f t="shared" si="1"/>
        <v>750</v>
      </c>
      <c r="L16" s="8">
        <f t="shared" si="0"/>
        <v>5.6199534321516812E-3</v>
      </c>
      <c r="N16" s="36">
        <f t="shared" si="2"/>
        <v>750</v>
      </c>
    </row>
    <row r="17" spans="1:14" s="5" customFormat="1" ht="28" hidden="1" x14ac:dyDescent="0.2">
      <c r="A17" s="52"/>
      <c r="B17" s="37" t="s">
        <v>141</v>
      </c>
      <c r="C17" s="37" t="s">
        <v>93</v>
      </c>
      <c r="D17" s="37" t="s">
        <v>98</v>
      </c>
      <c r="E17" s="37">
        <v>800</v>
      </c>
      <c r="F17" s="37" t="s">
        <v>16</v>
      </c>
      <c r="G17" s="2">
        <v>200</v>
      </c>
      <c r="H17" s="2">
        <v>200</v>
      </c>
      <c r="I17" s="2">
        <v>200</v>
      </c>
      <c r="J17" s="2">
        <v>200</v>
      </c>
      <c r="K17" s="2">
        <f t="shared" si="1"/>
        <v>800</v>
      </c>
      <c r="L17" s="8">
        <f t="shared" si="0"/>
        <v>5.9946169942951266E-3</v>
      </c>
      <c r="N17" s="36">
        <f t="shared" si="2"/>
        <v>800</v>
      </c>
    </row>
    <row r="18" spans="1:14" s="5" customFormat="1" ht="56" hidden="1" x14ac:dyDescent="0.2">
      <c r="A18" s="37" t="s">
        <v>18</v>
      </c>
      <c r="B18" s="37" t="s">
        <v>141</v>
      </c>
      <c r="C18" s="37" t="s">
        <v>93</v>
      </c>
      <c r="D18" s="37" t="s">
        <v>99</v>
      </c>
      <c r="E18" s="37">
        <v>281</v>
      </c>
      <c r="F18" s="37" t="s">
        <v>19</v>
      </c>
      <c r="G18" s="2">
        <v>71</v>
      </c>
      <c r="H18" s="2">
        <v>70</v>
      </c>
      <c r="I18" s="2">
        <v>70</v>
      </c>
      <c r="J18" s="2">
        <v>70</v>
      </c>
      <c r="K18" s="2">
        <f t="shared" si="1"/>
        <v>281</v>
      </c>
      <c r="L18" s="8">
        <f t="shared" si="0"/>
        <v>2.1056092192461629E-3</v>
      </c>
      <c r="N18" s="36">
        <f t="shared" si="2"/>
        <v>281</v>
      </c>
    </row>
    <row r="19" spans="1:14" s="5" customFormat="1" ht="42" hidden="1" x14ac:dyDescent="0.2">
      <c r="A19" s="37" t="s">
        <v>20</v>
      </c>
      <c r="B19" s="37" t="s">
        <v>140</v>
      </c>
      <c r="C19" s="37" t="s">
        <v>88</v>
      </c>
      <c r="D19" s="37" t="s">
        <v>100</v>
      </c>
      <c r="E19" s="2">
        <v>2096</v>
      </c>
      <c r="F19" s="4" t="s">
        <v>167</v>
      </c>
      <c r="G19" s="15">
        <v>524</v>
      </c>
      <c r="H19" s="15">
        <v>524</v>
      </c>
      <c r="I19" s="15">
        <v>524</v>
      </c>
      <c r="J19" s="15">
        <v>524</v>
      </c>
      <c r="K19" s="15">
        <f t="shared" si="1"/>
        <v>2096</v>
      </c>
      <c r="L19" s="8">
        <f t="shared" si="0"/>
        <v>1.5705896525053231E-2</v>
      </c>
      <c r="N19" s="36">
        <f t="shared" si="2"/>
        <v>2096</v>
      </c>
    </row>
    <row r="20" spans="1:14" s="5" customFormat="1" ht="42" hidden="1" x14ac:dyDescent="0.2">
      <c r="A20" s="46" t="s">
        <v>21</v>
      </c>
      <c r="B20" s="37" t="s">
        <v>139</v>
      </c>
      <c r="C20" s="37" t="s">
        <v>101</v>
      </c>
      <c r="D20" s="37" t="s">
        <v>102</v>
      </c>
      <c r="E20" s="2">
        <v>9000</v>
      </c>
      <c r="F20" s="37" t="s">
        <v>168</v>
      </c>
      <c r="G20" s="13">
        <v>2150</v>
      </c>
      <c r="H20" s="13">
        <v>2193</v>
      </c>
      <c r="I20" s="13">
        <v>2258.79</v>
      </c>
      <c r="J20" s="13">
        <v>2398</v>
      </c>
      <c r="K20" s="2">
        <f t="shared" si="1"/>
        <v>9000</v>
      </c>
      <c r="L20" s="8">
        <f t="shared" si="0"/>
        <v>6.7439441185820168E-2</v>
      </c>
      <c r="N20" s="36">
        <f t="shared" si="2"/>
        <v>8999.7900000000009</v>
      </c>
    </row>
    <row r="21" spans="1:14" s="5" customFormat="1" ht="42" hidden="1" x14ac:dyDescent="0.2">
      <c r="A21" s="46"/>
      <c r="B21" s="37" t="s">
        <v>139</v>
      </c>
      <c r="C21" s="37" t="s">
        <v>101</v>
      </c>
      <c r="D21" s="37" t="s">
        <v>102</v>
      </c>
      <c r="E21" s="2">
        <v>4000</v>
      </c>
      <c r="F21" s="4" t="s">
        <v>169</v>
      </c>
      <c r="G21" s="13">
        <v>925</v>
      </c>
      <c r="H21" s="13">
        <v>965.5</v>
      </c>
      <c r="I21" s="13">
        <v>1008.25</v>
      </c>
      <c r="J21" s="13">
        <v>1101</v>
      </c>
      <c r="K21" s="2">
        <f t="shared" si="1"/>
        <v>4000</v>
      </c>
      <c r="L21" s="8">
        <f t="shared" si="0"/>
        <v>2.9973084971475633E-2</v>
      </c>
      <c r="M21" s="17"/>
      <c r="N21" s="36">
        <f t="shared" si="2"/>
        <v>3999.75</v>
      </c>
    </row>
    <row r="22" spans="1:14" s="5" customFormat="1" ht="42" hidden="1" x14ac:dyDescent="0.2">
      <c r="A22" s="37" t="s">
        <v>22</v>
      </c>
      <c r="B22" s="37" t="s">
        <v>140</v>
      </c>
      <c r="C22" s="37" t="s">
        <v>103</v>
      </c>
      <c r="D22" s="37" t="s">
        <v>104</v>
      </c>
      <c r="E22" s="2">
        <v>5372</v>
      </c>
      <c r="F22" s="37" t="s">
        <v>23</v>
      </c>
      <c r="G22" s="15">
        <v>1000</v>
      </c>
      <c r="H22" s="15">
        <v>1000</v>
      </c>
      <c r="I22" s="15">
        <v>1000</v>
      </c>
      <c r="J22" s="15">
        <f>1343+1029</f>
        <v>2372</v>
      </c>
      <c r="K22" s="15">
        <f t="shared" si="1"/>
        <v>5372</v>
      </c>
      <c r="L22" s="8">
        <f t="shared" si="0"/>
        <v>4.0253853116691773E-2</v>
      </c>
      <c r="N22" s="36">
        <f t="shared" si="2"/>
        <v>5372</v>
      </c>
    </row>
    <row r="23" spans="1:14" s="5" customFormat="1" ht="28" hidden="1" x14ac:dyDescent="0.2">
      <c r="A23" s="46" t="s">
        <v>24</v>
      </c>
      <c r="B23" s="37" t="s">
        <v>140</v>
      </c>
      <c r="C23" s="37" t="s">
        <v>92</v>
      </c>
      <c r="D23" s="37" t="s">
        <v>105</v>
      </c>
      <c r="E23" s="2">
        <v>2603</v>
      </c>
      <c r="F23" s="39" t="s">
        <v>25</v>
      </c>
      <c r="G23" s="15">
        <v>651</v>
      </c>
      <c r="H23" s="15">
        <v>651</v>
      </c>
      <c r="I23" s="15">
        <v>651</v>
      </c>
      <c r="J23" s="15">
        <v>650</v>
      </c>
      <c r="K23" s="15">
        <f t="shared" si="1"/>
        <v>2603</v>
      </c>
      <c r="L23" s="8">
        <f t="shared" si="0"/>
        <v>1.9504985045187766E-2</v>
      </c>
      <c r="N23" s="36">
        <f t="shared" si="2"/>
        <v>2603</v>
      </c>
    </row>
    <row r="24" spans="1:14" s="5" customFormat="1" ht="56" hidden="1" x14ac:dyDescent="0.2">
      <c r="A24" s="46"/>
      <c r="B24" s="37" t="s">
        <v>140</v>
      </c>
      <c r="C24" s="37" t="s">
        <v>92</v>
      </c>
      <c r="D24" s="37" t="s">
        <v>147</v>
      </c>
      <c r="E24" s="2">
        <v>500</v>
      </c>
      <c r="F24" s="39" t="s">
        <v>26</v>
      </c>
      <c r="G24" s="15">
        <v>125</v>
      </c>
      <c r="H24" s="15">
        <v>125</v>
      </c>
      <c r="I24" s="15">
        <v>125</v>
      </c>
      <c r="J24" s="15">
        <v>125</v>
      </c>
      <c r="K24" s="15">
        <f t="shared" si="1"/>
        <v>500</v>
      </c>
      <c r="L24" s="8">
        <f t="shared" si="0"/>
        <v>3.7466356214344541E-3</v>
      </c>
      <c r="N24" s="36">
        <f t="shared" si="2"/>
        <v>500</v>
      </c>
    </row>
    <row r="25" spans="1:14" s="5" customFormat="1" ht="56" hidden="1" x14ac:dyDescent="0.2">
      <c r="A25" s="46"/>
      <c r="B25" s="37" t="s">
        <v>140</v>
      </c>
      <c r="C25" s="37" t="s">
        <v>92</v>
      </c>
      <c r="D25" s="37" t="s">
        <v>147</v>
      </c>
      <c r="E25" s="2">
        <v>1561</v>
      </c>
      <c r="F25" s="39" t="s">
        <v>27</v>
      </c>
      <c r="G25" s="15">
        <v>391</v>
      </c>
      <c r="H25" s="15">
        <v>390</v>
      </c>
      <c r="I25" s="15">
        <v>390</v>
      </c>
      <c r="J25" s="15">
        <v>390</v>
      </c>
      <c r="K25" s="15">
        <f t="shared" si="1"/>
        <v>1561</v>
      </c>
      <c r="L25" s="8">
        <f t="shared" si="0"/>
        <v>1.1696996410118366E-2</v>
      </c>
      <c r="N25" s="36">
        <f t="shared" si="2"/>
        <v>1561</v>
      </c>
    </row>
    <row r="26" spans="1:14" s="5" customFormat="1" ht="42" hidden="1" x14ac:dyDescent="0.2">
      <c r="A26" s="46" t="s">
        <v>28</v>
      </c>
      <c r="B26" s="37" t="s">
        <v>140</v>
      </c>
      <c r="C26" s="37" t="s">
        <v>92</v>
      </c>
      <c r="D26" s="37" t="s">
        <v>106</v>
      </c>
      <c r="E26" s="2">
        <v>816</v>
      </c>
      <c r="F26" s="37" t="s">
        <v>29</v>
      </c>
      <c r="G26" s="15">
        <v>204</v>
      </c>
      <c r="H26" s="15">
        <v>204</v>
      </c>
      <c r="I26" s="15">
        <v>204</v>
      </c>
      <c r="J26" s="15">
        <v>204</v>
      </c>
      <c r="K26" s="15">
        <f t="shared" si="1"/>
        <v>816</v>
      </c>
      <c r="L26" s="8">
        <f t="shared" si="0"/>
        <v>6.1145093341810289E-3</v>
      </c>
      <c r="N26" s="36">
        <f t="shared" si="2"/>
        <v>816</v>
      </c>
    </row>
    <row r="27" spans="1:14" s="5" customFormat="1" ht="42" hidden="1" x14ac:dyDescent="0.2">
      <c r="A27" s="46"/>
      <c r="B27" s="37" t="s">
        <v>140</v>
      </c>
      <c r="C27" s="37" t="s">
        <v>92</v>
      </c>
      <c r="D27" s="37" t="s">
        <v>107</v>
      </c>
      <c r="E27" s="2">
        <v>1126</v>
      </c>
      <c r="F27" s="37" t="s">
        <v>30</v>
      </c>
      <c r="G27" s="15">
        <v>281</v>
      </c>
      <c r="H27" s="15">
        <v>282</v>
      </c>
      <c r="I27" s="15">
        <v>282</v>
      </c>
      <c r="J27" s="15">
        <v>281</v>
      </c>
      <c r="K27" s="15">
        <f t="shared" si="1"/>
        <v>1126</v>
      </c>
      <c r="L27" s="8">
        <f t="shared" si="0"/>
        <v>8.4374234194703902E-3</v>
      </c>
      <c r="N27" s="36">
        <f t="shared" si="2"/>
        <v>1126</v>
      </c>
    </row>
    <row r="28" spans="1:14" s="5" customFormat="1" ht="56" hidden="1" x14ac:dyDescent="0.2">
      <c r="A28" s="46"/>
      <c r="B28" s="37" t="s">
        <v>140</v>
      </c>
      <c r="C28" s="37" t="s">
        <v>92</v>
      </c>
      <c r="D28" s="37" t="s">
        <v>147</v>
      </c>
      <c r="E28" s="2">
        <v>500</v>
      </c>
      <c r="F28" s="37" t="s">
        <v>31</v>
      </c>
      <c r="G28" s="15">
        <v>125</v>
      </c>
      <c r="H28" s="15">
        <v>125</v>
      </c>
      <c r="I28" s="15">
        <v>125</v>
      </c>
      <c r="J28" s="15">
        <v>125</v>
      </c>
      <c r="K28" s="15">
        <f t="shared" si="1"/>
        <v>500</v>
      </c>
      <c r="L28" s="8">
        <f t="shared" si="0"/>
        <v>3.7466356214344541E-3</v>
      </c>
      <c r="N28" s="36">
        <f t="shared" si="2"/>
        <v>500</v>
      </c>
    </row>
    <row r="29" spans="1:14" s="5" customFormat="1" ht="24.75" hidden="1" customHeight="1" x14ac:dyDescent="0.2">
      <c r="A29" s="46"/>
      <c r="B29" s="37" t="s">
        <v>140</v>
      </c>
      <c r="C29" s="37" t="s">
        <v>88</v>
      </c>
      <c r="D29" s="37" t="s">
        <v>108</v>
      </c>
      <c r="E29" s="2">
        <v>2013</v>
      </c>
      <c r="F29" s="4" t="s">
        <v>170</v>
      </c>
      <c r="G29" s="15">
        <v>0</v>
      </c>
      <c r="H29" s="15">
        <v>503</v>
      </c>
      <c r="I29" s="15">
        <v>403</v>
      </c>
      <c r="J29" s="15">
        <f>503+504+100</f>
        <v>1107</v>
      </c>
      <c r="K29" s="15">
        <f t="shared" si="1"/>
        <v>2013</v>
      </c>
      <c r="L29" s="8">
        <f t="shared" si="0"/>
        <v>1.5083955011895111E-2</v>
      </c>
      <c r="N29" s="36">
        <f t="shared" si="2"/>
        <v>2013</v>
      </c>
    </row>
    <row r="30" spans="1:14" s="5" customFormat="1" ht="28" x14ac:dyDescent="0.2">
      <c r="A30" s="37" t="s">
        <v>32</v>
      </c>
      <c r="B30" s="37" t="s">
        <v>140</v>
      </c>
      <c r="C30" s="37" t="s">
        <v>109</v>
      </c>
      <c r="D30" s="37" t="s">
        <v>149</v>
      </c>
      <c r="E30" s="2">
        <v>3913</v>
      </c>
      <c r="F30" s="37" t="s">
        <v>33</v>
      </c>
      <c r="G30" s="15">
        <v>979</v>
      </c>
      <c r="H30" s="15">
        <v>978</v>
      </c>
      <c r="I30" s="15">
        <v>978</v>
      </c>
      <c r="J30" s="15">
        <v>978</v>
      </c>
      <c r="K30" s="15">
        <f t="shared" si="1"/>
        <v>3913</v>
      </c>
      <c r="L30" s="8">
        <f t="shared" si="0"/>
        <v>2.9321170373346035E-2</v>
      </c>
      <c r="N30" s="36">
        <f t="shared" si="2"/>
        <v>3913</v>
      </c>
    </row>
    <row r="31" spans="1:14" s="5" customFormat="1" ht="42" hidden="1" x14ac:dyDescent="0.2">
      <c r="A31" s="37" t="s">
        <v>34</v>
      </c>
      <c r="B31" s="37" t="s">
        <v>140</v>
      </c>
      <c r="C31" s="37" t="s">
        <v>92</v>
      </c>
      <c r="D31" s="37" t="s">
        <v>110</v>
      </c>
      <c r="E31" s="2">
        <v>768</v>
      </c>
      <c r="F31" s="37" t="s">
        <v>35</v>
      </c>
      <c r="G31" s="15">
        <v>0</v>
      </c>
      <c r="H31" s="15">
        <v>256</v>
      </c>
      <c r="I31" s="15">
        <v>256</v>
      </c>
      <c r="J31" s="15">
        <v>256</v>
      </c>
      <c r="K31" s="15">
        <f t="shared" si="1"/>
        <v>768</v>
      </c>
      <c r="L31" s="8">
        <f t="shared" si="0"/>
        <v>5.7548323145233211E-3</v>
      </c>
      <c r="N31" s="36">
        <f t="shared" si="2"/>
        <v>768</v>
      </c>
    </row>
    <row r="32" spans="1:14" s="5" customFormat="1" ht="118.5" hidden="1" customHeight="1" x14ac:dyDescent="0.2">
      <c r="A32" s="10" t="s">
        <v>36</v>
      </c>
      <c r="B32" s="10" t="s">
        <v>36</v>
      </c>
      <c r="C32" s="10" t="s">
        <v>36</v>
      </c>
      <c r="D32" s="10" t="s">
        <v>36</v>
      </c>
      <c r="E32" s="10" t="s">
        <v>159</v>
      </c>
      <c r="F32" s="10" t="s">
        <v>36</v>
      </c>
      <c r="G32" s="32">
        <f>+SUM(G33:G43)</f>
        <v>4076</v>
      </c>
      <c r="H32" s="32">
        <f>+SUM(H33:H43)</f>
        <v>3840</v>
      </c>
      <c r="I32" s="32">
        <f>+SUM(I33:I43)</f>
        <v>3146</v>
      </c>
      <c r="J32" s="32">
        <f>+SUM(J33:J43)</f>
        <v>2440</v>
      </c>
      <c r="K32" s="32">
        <f>+SUM(K33:K43)</f>
        <v>13502</v>
      </c>
      <c r="L32" s="11">
        <f t="shared" si="0"/>
        <v>0.10117414832121599</v>
      </c>
    </row>
    <row r="33" spans="1:14" s="5" customFormat="1" ht="42" hidden="1" x14ac:dyDescent="0.2">
      <c r="A33" s="37" t="s">
        <v>37</v>
      </c>
      <c r="B33" s="37" t="s">
        <v>140</v>
      </c>
      <c r="C33" s="37" t="s">
        <v>111</v>
      </c>
      <c r="D33" s="37" t="s">
        <v>112</v>
      </c>
      <c r="E33" s="2">
        <v>691</v>
      </c>
      <c r="F33" s="4" t="s">
        <v>171</v>
      </c>
      <c r="G33" s="15">
        <v>200</v>
      </c>
      <c r="H33" s="15">
        <v>291</v>
      </c>
      <c r="I33" s="15">
        <v>200</v>
      </c>
      <c r="J33" s="15">
        <v>0</v>
      </c>
      <c r="K33" s="15">
        <f t="shared" ref="K33:K43" si="3">ROUND(SUM(G33:J33),0)</f>
        <v>691</v>
      </c>
      <c r="L33" s="8">
        <f t="shared" si="0"/>
        <v>5.1778504288224154E-3</v>
      </c>
      <c r="N33" s="36">
        <f t="shared" ref="N33:N43" si="4">+ROUND(SUM(G33:J33),2)</f>
        <v>691</v>
      </c>
    </row>
    <row r="34" spans="1:14" s="5" customFormat="1" ht="42" hidden="1" x14ac:dyDescent="0.2">
      <c r="A34" s="37" t="s">
        <v>38</v>
      </c>
      <c r="B34" s="37" t="s">
        <v>140</v>
      </c>
      <c r="C34" s="37" t="s">
        <v>111</v>
      </c>
      <c r="D34" s="37" t="s">
        <v>113</v>
      </c>
      <c r="E34" s="2">
        <v>399</v>
      </c>
      <c r="F34" s="3" t="s">
        <v>148</v>
      </c>
      <c r="G34" s="15">
        <v>399</v>
      </c>
      <c r="H34" s="15">
        <v>0</v>
      </c>
      <c r="I34" s="15">
        <v>0</v>
      </c>
      <c r="J34" s="15">
        <v>0</v>
      </c>
      <c r="K34" s="15">
        <f t="shared" si="3"/>
        <v>399</v>
      </c>
      <c r="L34" s="8">
        <f t="shared" si="0"/>
        <v>2.9898152259046941E-3</v>
      </c>
      <c r="N34" s="36">
        <f t="shared" si="4"/>
        <v>399</v>
      </c>
    </row>
    <row r="35" spans="1:14" s="5" customFormat="1" ht="44.25" hidden="1" customHeight="1" x14ac:dyDescent="0.2">
      <c r="A35" s="50" t="s">
        <v>39</v>
      </c>
      <c r="B35" s="37" t="s">
        <v>140</v>
      </c>
      <c r="C35" s="37" t="s">
        <v>111</v>
      </c>
      <c r="D35" s="37" t="s">
        <v>114</v>
      </c>
      <c r="E35" s="2">
        <v>399</v>
      </c>
      <c r="F35" s="3" t="s">
        <v>150</v>
      </c>
      <c r="G35" s="15">
        <v>0</v>
      </c>
      <c r="H35" s="15">
        <v>399</v>
      </c>
      <c r="I35" s="15">
        <v>0</v>
      </c>
      <c r="J35" s="15">
        <v>0</v>
      </c>
      <c r="K35" s="15">
        <f t="shared" si="3"/>
        <v>399</v>
      </c>
      <c r="L35" s="8">
        <f t="shared" ref="L35:L66" si="5">+K35/$K$72</f>
        <v>2.9898152259046941E-3</v>
      </c>
      <c r="N35" s="36">
        <f t="shared" si="4"/>
        <v>399</v>
      </c>
    </row>
    <row r="36" spans="1:14" s="5" customFormat="1" ht="57.75" hidden="1" customHeight="1" x14ac:dyDescent="0.2">
      <c r="A36" s="51"/>
      <c r="B36" s="37" t="s">
        <v>140</v>
      </c>
      <c r="C36" s="37" t="s">
        <v>111</v>
      </c>
      <c r="D36" s="37" t="s">
        <v>115</v>
      </c>
      <c r="E36" s="2">
        <v>226</v>
      </c>
      <c r="F36" s="3" t="s">
        <v>176</v>
      </c>
      <c r="G36" s="15">
        <v>1388</v>
      </c>
      <c r="H36" s="15">
        <v>0</v>
      </c>
      <c r="I36" s="15">
        <v>0</v>
      </c>
      <c r="J36" s="15">
        <v>0</v>
      </c>
      <c r="K36" s="15">
        <f t="shared" si="3"/>
        <v>1388</v>
      </c>
      <c r="L36" s="8">
        <f t="shared" si="5"/>
        <v>1.0400660485102044E-2</v>
      </c>
      <c r="N36" s="36">
        <f t="shared" si="4"/>
        <v>1388</v>
      </c>
    </row>
    <row r="37" spans="1:14" s="5" customFormat="1" ht="57.75" hidden="1" customHeight="1" x14ac:dyDescent="0.2">
      <c r="A37" s="52"/>
      <c r="B37" s="37" t="s">
        <v>140</v>
      </c>
      <c r="C37" s="37" t="s">
        <v>111</v>
      </c>
      <c r="D37" s="37" t="s">
        <v>151</v>
      </c>
      <c r="E37" s="2">
        <v>232</v>
      </c>
      <c r="F37" s="3" t="s">
        <v>152</v>
      </c>
      <c r="G37" s="15">
        <v>0</v>
      </c>
      <c r="H37" s="15">
        <v>0</v>
      </c>
      <c r="I37" s="15">
        <v>232</v>
      </c>
      <c r="J37" s="15">
        <v>0</v>
      </c>
      <c r="K37" s="15">
        <f t="shared" si="3"/>
        <v>232</v>
      </c>
      <c r="L37" s="8">
        <f t="shared" si="5"/>
        <v>1.7384389283455865E-3</v>
      </c>
      <c r="N37" s="36">
        <f t="shared" si="4"/>
        <v>232</v>
      </c>
    </row>
    <row r="38" spans="1:14" s="5" customFormat="1" ht="42" hidden="1" x14ac:dyDescent="0.2">
      <c r="A38" s="46" t="s">
        <v>60</v>
      </c>
      <c r="B38" s="37" t="s">
        <v>140</v>
      </c>
      <c r="C38" s="37" t="s">
        <v>116</v>
      </c>
      <c r="D38" s="37" t="s">
        <v>153</v>
      </c>
      <c r="E38" s="2">
        <v>711</v>
      </c>
      <c r="F38" s="45" t="s">
        <v>177</v>
      </c>
      <c r="G38" s="15">
        <v>0</v>
      </c>
      <c r="H38" s="15">
        <v>911</v>
      </c>
      <c r="I38" s="15">
        <v>0</v>
      </c>
      <c r="J38" s="15">
        <v>0</v>
      </c>
      <c r="K38" s="15">
        <f t="shared" si="3"/>
        <v>911</v>
      </c>
      <c r="L38" s="8">
        <f t="shared" si="5"/>
        <v>6.8263701022535754E-3</v>
      </c>
      <c r="N38" s="36">
        <f t="shared" si="4"/>
        <v>911</v>
      </c>
    </row>
    <row r="39" spans="1:14" s="5" customFormat="1" ht="42" hidden="1" x14ac:dyDescent="0.2">
      <c r="A39" s="46"/>
      <c r="B39" s="37" t="s">
        <v>140</v>
      </c>
      <c r="C39" s="37" t="s">
        <v>116</v>
      </c>
      <c r="D39" s="37" t="s">
        <v>153</v>
      </c>
      <c r="E39" s="2">
        <v>474</v>
      </c>
      <c r="F39" s="45" t="s">
        <v>172</v>
      </c>
      <c r="G39" s="15">
        <v>0</v>
      </c>
      <c r="H39" s="15">
        <v>0</v>
      </c>
      <c r="I39" s="15">
        <v>274</v>
      </c>
      <c r="J39" s="15">
        <v>0</v>
      </c>
      <c r="K39" s="15">
        <f t="shared" si="3"/>
        <v>274</v>
      </c>
      <c r="L39" s="8">
        <f t="shared" si="5"/>
        <v>2.0531563205460806E-3</v>
      </c>
      <c r="N39" s="36">
        <f t="shared" si="4"/>
        <v>274</v>
      </c>
    </row>
    <row r="40" spans="1:14" s="5" customFormat="1" ht="84" hidden="1" x14ac:dyDescent="0.2">
      <c r="A40" s="37" t="s">
        <v>40</v>
      </c>
      <c r="B40" s="37" t="s">
        <v>140</v>
      </c>
      <c r="C40" s="37" t="s">
        <v>111</v>
      </c>
      <c r="D40" s="37" t="s">
        <v>117</v>
      </c>
      <c r="E40" s="2">
        <v>1703</v>
      </c>
      <c r="F40" s="3" t="s">
        <v>41</v>
      </c>
      <c r="G40" s="15">
        <v>426</v>
      </c>
      <c r="H40" s="15">
        <v>425</v>
      </c>
      <c r="I40" s="15">
        <v>426</v>
      </c>
      <c r="J40" s="15">
        <v>426</v>
      </c>
      <c r="K40" s="15">
        <f t="shared" si="3"/>
        <v>1703</v>
      </c>
      <c r="L40" s="8">
        <f t="shared" si="5"/>
        <v>1.276104092660575E-2</v>
      </c>
      <c r="N40" s="36">
        <f t="shared" si="4"/>
        <v>1703</v>
      </c>
    </row>
    <row r="41" spans="1:14" s="5" customFormat="1" ht="42" hidden="1" x14ac:dyDescent="0.2">
      <c r="A41" s="37" t="s">
        <v>42</v>
      </c>
      <c r="B41" s="37" t="s">
        <v>140</v>
      </c>
      <c r="C41" s="37" t="s">
        <v>103</v>
      </c>
      <c r="D41" s="37" t="s">
        <v>118</v>
      </c>
      <c r="E41" s="2">
        <v>3526</v>
      </c>
      <c r="F41" s="3" t="s">
        <v>43</v>
      </c>
      <c r="G41" s="15">
        <v>526</v>
      </c>
      <c r="H41" s="15">
        <v>1000</v>
      </c>
      <c r="I41" s="15">
        <v>1000</v>
      </c>
      <c r="J41" s="15">
        <v>1000</v>
      </c>
      <c r="K41" s="15">
        <f t="shared" si="3"/>
        <v>3526</v>
      </c>
      <c r="L41" s="8">
        <f t="shared" si="5"/>
        <v>2.6421274402355768E-2</v>
      </c>
      <c r="N41" s="36">
        <f t="shared" si="4"/>
        <v>3526</v>
      </c>
    </row>
    <row r="42" spans="1:14" s="5" customFormat="1" ht="42" hidden="1" x14ac:dyDescent="0.2">
      <c r="A42" s="46" t="s">
        <v>44</v>
      </c>
      <c r="B42" s="37" t="s">
        <v>140</v>
      </c>
      <c r="C42" s="37" t="s">
        <v>111</v>
      </c>
      <c r="D42" s="37" t="s">
        <v>119</v>
      </c>
      <c r="E42" s="2">
        <v>721</v>
      </c>
      <c r="F42" s="3" t="s">
        <v>45</v>
      </c>
      <c r="G42" s="15">
        <v>321</v>
      </c>
      <c r="H42" s="15">
        <v>0</v>
      </c>
      <c r="I42" s="15">
        <v>200</v>
      </c>
      <c r="J42" s="15">
        <v>200</v>
      </c>
      <c r="K42" s="15">
        <f t="shared" si="3"/>
        <v>721</v>
      </c>
      <c r="L42" s="8">
        <f t="shared" si="5"/>
        <v>5.4026485661084825E-3</v>
      </c>
      <c r="N42" s="36">
        <f t="shared" si="4"/>
        <v>721</v>
      </c>
    </row>
    <row r="43" spans="1:14" s="5" customFormat="1" ht="28" hidden="1" x14ac:dyDescent="0.2">
      <c r="A43" s="46"/>
      <c r="B43" s="37" t="s">
        <v>140</v>
      </c>
      <c r="C43" s="37" t="s">
        <v>103</v>
      </c>
      <c r="D43" s="37" t="s">
        <v>120</v>
      </c>
      <c r="E43" s="2">
        <v>3258</v>
      </c>
      <c r="F43" s="3" t="s">
        <v>173</v>
      </c>
      <c r="G43" s="15">
        <v>816</v>
      </c>
      <c r="H43" s="15">
        <v>814</v>
      </c>
      <c r="I43" s="15">
        <v>814</v>
      </c>
      <c r="J43" s="15">
        <v>814</v>
      </c>
      <c r="K43" s="15">
        <f t="shared" si="3"/>
        <v>3258</v>
      </c>
      <c r="L43" s="8">
        <f t="shared" si="5"/>
        <v>2.44130777092669E-2</v>
      </c>
      <c r="N43" s="36">
        <f t="shared" si="4"/>
        <v>3258</v>
      </c>
    </row>
    <row r="44" spans="1:14" s="5" customFormat="1" ht="112" hidden="1" x14ac:dyDescent="0.2">
      <c r="A44" s="10" t="s">
        <v>46</v>
      </c>
      <c r="B44" s="10" t="s">
        <v>46</v>
      </c>
      <c r="C44" s="10" t="s">
        <v>46</v>
      </c>
      <c r="D44" s="10" t="s">
        <v>46</v>
      </c>
      <c r="E44" s="10" t="s">
        <v>159</v>
      </c>
      <c r="F44" s="10" t="s">
        <v>46</v>
      </c>
      <c r="G44" s="32">
        <f>+SUM(G45:G53)</f>
        <v>2033</v>
      </c>
      <c r="H44" s="32">
        <f>+SUM(H45:H53)</f>
        <v>1505</v>
      </c>
      <c r="I44" s="32">
        <f t="shared" ref="I44:J44" si="6">+SUM(I45:I53)</f>
        <v>1615</v>
      </c>
      <c r="J44" s="32">
        <f t="shared" si="6"/>
        <v>1327</v>
      </c>
      <c r="K44" s="32">
        <f>+SUM(K45:K53)</f>
        <v>6480</v>
      </c>
      <c r="L44" s="11">
        <f t="shared" si="5"/>
        <v>4.8556397653790523E-2</v>
      </c>
    </row>
    <row r="45" spans="1:14" s="5" customFormat="1" ht="56" hidden="1" x14ac:dyDescent="0.2">
      <c r="A45" s="37" t="s">
        <v>47</v>
      </c>
      <c r="B45" s="37" t="s">
        <v>140</v>
      </c>
      <c r="C45" s="37" t="s">
        <v>92</v>
      </c>
      <c r="D45" s="37" t="s">
        <v>121</v>
      </c>
      <c r="E45" s="2">
        <v>1691</v>
      </c>
      <c r="F45" s="3" t="s">
        <v>48</v>
      </c>
      <c r="G45" s="15">
        <v>425</v>
      </c>
      <c r="H45" s="15">
        <v>422</v>
      </c>
      <c r="I45" s="15">
        <v>422</v>
      </c>
      <c r="J45" s="15">
        <v>422</v>
      </c>
      <c r="K45" s="15">
        <f t="shared" ref="K45:K53" si="7">ROUND(SUM(G45:J45),0)</f>
        <v>1691</v>
      </c>
      <c r="L45" s="8">
        <f t="shared" si="5"/>
        <v>1.2671121671691323E-2</v>
      </c>
      <c r="N45" s="36">
        <f t="shared" ref="N45:N53" si="8">+ROUND(SUM(G45:J45),2)</f>
        <v>1691</v>
      </c>
    </row>
    <row r="46" spans="1:14" s="5" customFormat="1" ht="56" hidden="1" x14ac:dyDescent="0.2">
      <c r="A46" s="46" t="s">
        <v>49</v>
      </c>
      <c r="B46" s="37" t="s">
        <v>140</v>
      </c>
      <c r="C46" s="37" t="s">
        <v>92</v>
      </c>
      <c r="D46" s="37" t="s">
        <v>122</v>
      </c>
      <c r="E46" s="2">
        <v>1727</v>
      </c>
      <c r="F46" s="3" t="s">
        <v>50</v>
      </c>
      <c r="G46" s="15">
        <v>434</v>
      </c>
      <c r="H46" s="15">
        <v>431</v>
      </c>
      <c r="I46" s="15">
        <v>431</v>
      </c>
      <c r="J46" s="15">
        <v>431</v>
      </c>
      <c r="K46" s="15">
        <f t="shared" si="7"/>
        <v>1727</v>
      </c>
      <c r="L46" s="8">
        <f t="shared" si="5"/>
        <v>1.2940879436434604E-2</v>
      </c>
      <c r="N46" s="36">
        <f t="shared" si="8"/>
        <v>1727</v>
      </c>
    </row>
    <row r="47" spans="1:14" s="5" customFormat="1" ht="28" hidden="1" x14ac:dyDescent="0.2">
      <c r="A47" s="46"/>
      <c r="B47" s="37" t="s">
        <v>140</v>
      </c>
      <c r="C47" s="37" t="s">
        <v>92</v>
      </c>
      <c r="D47" s="37" t="s">
        <v>123</v>
      </c>
      <c r="E47" s="2">
        <v>1096</v>
      </c>
      <c r="F47" s="3" t="s">
        <v>51</v>
      </c>
      <c r="G47" s="15">
        <v>274</v>
      </c>
      <c r="H47" s="15">
        <v>274</v>
      </c>
      <c r="I47" s="15">
        <v>274</v>
      </c>
      <c r="J47" s="15">
        <v>274</v>
      </c>
      <c r="K47" s="15">
        <f t="shared" si="7"/>
        <v>1096</v>
      </c>
      <c r="L47" s="8">
        <f t="shared" si="5"/>
        <v>8.2126252821843222E-3</v>
      </c>
      <c r="N47" s="36">
        <f t="shared" si="8"/>
        <v>1096</v>
      </c>
    </row>
    <row r="48" spans="1:14" s="5" customFormat="1" ht="70" hidden="1" x14ac:dyDescent="0.2">
      <c r="A48" s="37" t="s">
        <v>52</v>
      </c>
      <c r="B48" s="37" t="s">
        <v>140</v>
      </c>
      <c r="C48" s="37" t="s">
        <v>92</v>
      </c>
      <c r="D48" s="37" t="s">
        <v>124</v>
      </c>
      <c r="E48" s="2">
        <v>298</v>
      </c>
      <c r="F48" s="3" t="s">
        <v>53</v>
      </c>
      <c r="G48" s="15">
        <v>298</v>
      </c>
      <c r="H48" s="15">
        <v>0</v>
      </c>
      <c r="I48" s="15">
        <v>0</v>
      </c>
      <c r="J48" s="15">
        <v>0</v>
      </c>
      <c r="K48" s="15">
        <f t="shared" si="7"/>
        <v>298</v>
      </c>
      <c r="L48" s="8">
        <f t="shared" si="5"/>
        <v>2.2329948303749345E-3</v>
      </c>
      <c r="N48" s="36">
        <f t="shared" si="8"/>
        <v>298</v>
      </c>
    </row>
    <row r="49" spans="1:18" s="5" customFormat="1" ht="56" hidden="1" x14ac:dyDescent="0.2">
      <c r="A49" s="37" t="s">
        <v>54</v>
      </c>
      <c r="B49" s="37" t="s">
        <v>140</v>
      </c>
      <c r="C49" s="37" t="s">
        <v>92</v>
      </c>
      <c r="D49" s="37" t="s">
        <v>125</v>
      </c>
      <c r="E49" s="2">
        <v>494</v>
      </c>
      <c r="F49" s="3" t="s">
        <v>55</v>
      </c>
      <c r="G49" s="15">
        <v>294</v>
      </c>
      <c r="H49" s="15">
        <v>0</v>
      </c>
      <c r="I49" s="15">
        <v>0</v>
      </c>
      <c r="J49" s="15">
        <v>200</v>
      </c>
      <c r="K49" s="15">
        <f t="shared" si="7"/>
        <v>494</v>
      </c>
      <c r="L49" s="8">
        <f t="shared" si="5"/>
        <v>3.7016759939772406E-3</v>
      </c>
      <c r="N49" s="36">
        <f t="shared" si="8"/>
        <v>494</v>
      </c>
    </row>
    <row r="50" spans="1:18" s="5" customFormat="1" ht="28" hidden="1" x14ac:dyDescent="0.2">
      <c r="A50" s="46" t="s">
        <v>56</v>
      </c>
      <c r="B50" s="37" t="s">
        <v>140</v>
      </c>
      <c r="C50" s="37" t="s">
        <v>92</v>
      </c>
      <c r="D50" s="37" t="s">
        <v>155</v>
      </c>
      <c r="E50" s="2">
        <v>408</v>
      </c>
      <c r="F50" s="3" t="s">
        <v>156</v>
      </c>
      <c r="G50" s="15">
        <v>208</v>
      </c>
      <c r="H50" s="15">
        <v>0</v>
      </c>
      <c r="I50" s="15">
        <v>200</v>
      </c>
      <c r="J50" s="15">
        <v>0</v>
      </c>
      <c r="K50" s="15">
        <f t="shared" si="7"/>
        <v>408</v>
      </c>
      <c r="L50" s="8">
        <f t="shared" si="5"/>
        <v>3.0572546670905145E-3</v>
      </c>
      <c r="N50" s="36">
        <f t="shared" si="8"/>
        <v>408</v>
      </c>
    </row>
    <row r="51" spans="1:18" s="5" customFormat="1" ht="42.75" hidden="1" customHeight="1" x14ac:dyDescent="0.2">
      <c r="A51" s="46"/>
      <c r="B51" s="37" t="s">
        <v>140</v>
      </c>
      <c r="C51" s="37" t="s">
        <v>92</v>
      </c>
      <c r="D51" s="37" t="s">
        <v>155</v>
      </c>
      <c r="E51" s="2">
        <v>188</v>
      </c>
      <c r="F51" s="3" t="s">
        <v>157</v>
      </c>
      <c r="G51" s="15">
        <v>100</v>
      </c>
      <c r="H51" s="15">
        <v>0</v>
      </c>
      <c r="I51" s="15">
        <v>88</v>
      </c>
      <c r="J51" s="15">
        <v>0</v>
      </c>
      <c r="K51" s="15">
        <f t="shared" si="7"/>
        <v>188</v>
      </c>
      <c r="L51" s="8">
        <f t="shared" si="5"/>
        <v>1.4087349936593547E-3</v>
      </c>
      <c r="N51" s="36">
        <f t="shared" si="8"/>
        <v>188</v>
      </c>
    </row>
    <row r="52" spans="1:18" s="5" customFormat="1" ht="28" hidden="1" x14ac:dyDescent="0.2">
      <c r="A52" s="46"/>
      <c r="B52" s="37" t="s">
        <v>140</v>
      </c>
      <c r="C52" s="37" t="s">
        <v>92</v>
      </c>
      <c r="D52" s="37" t="s">
        <v>126</v>
      </c>
      <c r="E52" s="2">
        <v>200</v>
      </c>
      <c r="F52" s="3" t="s">
        <v>57</v>
      </c>
      <c r="G52" s="15">
        <v>0</v>
      </c>
      <c r="H52" s="15">
        <v>0</v>
      </c>
      <c r="I52" s="15">
        <v>200</v>
      </c>
      <c r="J52" s="15">
        <v>0</v>
      </c>
      <c r="K52" s="15">
        <f t="shared" si="7"/>
        <v>200</v>
      </c>
      <c r="L52" s="8">
        <f t="shared" si="5"/>
        <v>1.4986542485737817E-3</v>
      </c>
      <c r="N52" s="36">
        <f t="shared" si="8"/>
        <v>200</v>
      </c>
    </row>
    <row r="53" spans="1:18" s="5" customFormat="1" ht="28" hidden="1" x14ac:dyDescent="0.2">
      <c r="A53" s="46"/>
      <c r="B53" s="37" t="s">
        <v>140</v>
      </c>
      <c r="C53" s="37" t="s">
        <v>92</v>
      </c>
      <c r="D53" s="37" t="s">
        <v>126</v>
      </c>
      <c r="E53" s="2">
        <v>378</v>
      </c>
      <c r="F53" s="3" t="s">
        <v>58</v>
      </c>
      <c r="G53" s="15">
        <v>0</v>
      </c>
      <c r="H53" s="15">
        <v>378</v>
      </c>
      <c r="I53" s="15">
        <v>0</v>
      </c>
      <c r="J53" s="15">
        <v>0</v>
      </c>
      <c r="K53" s="15">
        <f t="shared" si="7"/>
        <v>378</v>
      </c>
      <c r="L53" s="8">
        <f t="shared" si="5"/>
        <v>2.832456529804447E-3</v>
      </c>
      <c r="N53" s="36">
        <f t="shared" si="8"/>
        <v>378</v>
      </c>
    </row>
    <row r="54" spans="1:18" s="5" customFormat="1" ht="98" hidden="1" x14ac:dyDescent="0.2">
      <c r="A54" s="10" t="s">
        <v>59</v>
      </c>
      <c r="B54" s="10" t="s">
        <v>59</v>
      </c>
      <c r="C54" s="10" t="s">
        <v>59</v>
      </c>
      <c r="D54" s="10" t="s">
        <v>59</v>
      </c>
      <c r="E54" s="10" t="s">
        <v>159</v>
      </c>
      <c r="F54" s="10" t="s">
        <v>59</v>
      </c>
      <c r="G54" s="32">
        <f>+SUM(G55:G57)</f>
        <v>2664</v>
      </c>
      <c r="H54" s="32">
        <f>+SUM(H55:H57)</f>
        <v>2664</v>
      </c>
      <c r="I54" s="32">
        <f>+SUM(I55:I57)</f>
        <v>3028</v>
      </c>
      <c r="J54" s="32">
        <f>+SUM(J55:J57)</f>
        <v>1766</v>
      </c>
      <c r="K54" s="32">
        <f>+SUM(K55:K57)</f>
        <v>10122</v>
      </c>
      <c r="L54" s="11">
        <f t="shared" si="5"/>
        <v>7.5846891520319079E-2</v>
      </c>
    </row>
    <row r="55" spans="1:18" s="5" customFormat="1" ht="42" hidden="1" x14ac:dyDescent="0.2">
      <c r="A55" s="46" t="s">
        <v>60</v>
      </c>
      <c r="B55" s="37" t="s">
        <v>140</v>
      </c>
      <c r="C55" s="37" t="s">
        <v>88</v>
      </c>
      <c r="D55" s="37" t="s">
        <v>127</v>
      </c>
      <c r="E55" s="2">
        <v>387</v>
      </c>
      <c r="F55" s="37" t="s">
        <v>61</v>
      </c>
      <c r="G55" s="15">
        <v>0</v>
      </c>
      <c r="H55" s="15">
        <v>0</v>
      </c>
      <c r="I55" s="15">
        <v>387</v>
      </c>
      <c r="J55" s="15">
        <v>0</v>
      </c>
      <c r="K55" s="15">
        <f t="shared" ref="K55:K57" si="9">ROUND(SUM(G55:J55),0)</f>
        <v>387</v>
      </c>
      <c r="L55" s="8">
        <f t="shared" si="5"/>
        <v>2.8998959709902673E-3</v>
      </c>
      <c r="N55" s="36">
        <f t="shared" ref="N55:N57" si="10">+ROUND(SUM(G55:J55),2)</f>
        <v>387</v>
      </c>
    </row>
    <row r="56" spans="1:18" s="5" customFormat="1" ht="66" hidden="1" customHeight="1" x14ac:dyDescent="0.2">
      <c r="A56" s="46"/>
      <c r="B56" s="37" t="s">
        <v>140</v>
      </c>
      <c r="C56" s="37" t="s">
        <v>88</v>
      </c>
      <c r="D56" s="37" t="s">
        <v>17</v>
      </c>
      <c r="E56" s="2">
        <v>1679</v>
      </c>
      <c r="F56" s="37" t="s">
        <v>62</v>
      </c>
      <c r="G56" s="15">
        <v>900</v>
      </c>
      <c r="H56" s="15">
        <v>900</v>
      </c>
      <c r="I56" s="15">
        <v>877</v>
      </c>
      <c r="J56" s="15">
        <v>0</v>
      </c>
      <c r="K56" s="15">
        <f t="shared" si="9"/>
        <v>2677</v>
      </c>
      <c r="L56" s="8">
        <f t="shared" si="5"/>
        <v>2.0059487117160067E-2</v>
      </c>
      <c r="N56" s="36">
        <f t="shared" si="10"/>
        <v>2677</v>
      </c>
    </row>
    <row r="57" spans="1:18" s="5" customFormat="1" ht="48.75" hidden="1" customHeight="1" x14ac:dyDescent="0.2">
      <c r="A57" s="46"/>
      <c r="B57" s="37" t="s">
        <v>140</v>
      </c>
      <c r="C57" s="37" t="s">
        <v>88</v>
      </c>
      <c r="D57" s="37" t="s">
        <v>128</v>
      </c>
      <c r="E57" s="2">
        <v>5896</v>
      </c>
      <c r="F57" s="4" t="s">
        <v>63</v>
      </c>
      <c r="G57" s="15">
        <v>1764</v>
      </c>
      <c r="H57" s="15">
        <v>1764</v>
      </c>
      <c r="I57" s="15">
        <v>1764</v>
      </c>
      <c r="J57" s="15">
        <v>1766</v>
      </c>
      <c r="K57" s="15">
        <f t="shared" si="9"/>
        <v>7058</v>
      </c>
      <c r="L57" s="8">
        <f t="shared" si="5"/>
        <v>5.2887508432168752E-2</v>
      </c>
      <c r="N57" s="36">
        <f t="shared" si="10"/>
        <v>7058</v>
      </c>
    </row>
    <row r="58" spans="1:18" s="5" customFormat="1" ht="98" hidden="1" x14ac:dyDescent="0.2">
      <c r="A58" s="10" t="s">
        <v>64</v>
      </c>
      <c r="B58" s="10" t="s">
        <v>64</v>
      </c>
      <c r="C58" s="10" t="s">
        <v>64</v>
      </c>
      <c r="D58" s="10" t="s">
        <v>64</v>
      </c>
      <c r="E58" s="10" t="s">
        <v>159</v>
      </c>
      <c r="F58" s="10" t="s">
        <v>64</v>
      </c>
      <c r="G58" s="32">
        <f>+SUM(G59:G68)</f>
        <v>7067.73675</v>
      </c>
      <c r="H58" s="32">
        <f>+SUM(H59:H68)</f>
        <v>7777.1036000000004</v>
      </c>
      <c r="I58" s="32">
        <f>+SUM(I59:I68)</f>
        <v>8509.0553500000005</v>
      </c>
      <c r="J58" s="32">
        <f>+SUM(J59:J68)</f>
        <v>9663.8208999999988</v>
      </c>
      <c r="K58" s="32">
        <f>+SUM(K59:K68)</f>
        <v>33019</v>
      </c>
      <c r="L58" s="11">
        <f t="shared" si="5"/>
        <v>0.24742032316828846</v>
      </c>
    </row>
    <row r="59" spans="1:18" s="5" customFormat="1" ht="56" hidden="1" x14ac:dyDescent="0.2">
      <c r="A59" s="37" t="s">
        <v>66</v>
      </c>
      <c r="B59" s="37" t="s">
        <v>140</v>
      </c>
      <c r="C59" s="37" t="s">
        <v>103</v>
      </c>
      <c r="D59" s="37" t="s">
        <v>131</v>
      </c>
      <c r="E59" s="2">
        <v>6176</v>
      </c>
      <c r="F59" s="3" t="s">
        <v>67</v>
      </c>
      <c r="G59" s="15">
        <f>946.12675-246</f>
        <v>700.12675000000002</v>
      </c>
      <c r="H59" s="15">
        <f>1047.0936+246</f>
        <v>1293.0935999999999</v>
      </c>
      <c r="I59" s="15">
        <v>1543.6603500000001</v>
      </c>
      <c r="J59" s="15">
        <v>2638.6509000000001</v>
      </c>
      <c r="K59" s="15">
        <f t="shared" ref="K59:K66" si="11">ROUND(SUM(G59:J59),0)</f>
        <v>6176</v>
      </c>
      <c r="L59" s="8">
        <f t="shared" si="5"/>
        <v>4.6278443195958377E-2</v>
      </c>
      <c r="N59" s="36">
        <f t="shared" ref="N59:N66" si="12">+ROUND(SUM(G59:J59),2)</f>
        <v>6175.53</v>
      </c>
    </row>
    <row r="60" spans="1:18" s="5" customFormat="1" ht="28" hidden="1" x14ac:dyDescent="0.2">
      <c r="A60" s="46" t="s">
        <v>68</v>
      </c>
      <c r="B60" s="37" t="s">
        <v>140</v>
      </c>
      <c r="C60" s="37" t="s">
        <v>88</v>
      </c>
      <c r="D60" s="37" t="s">
        <v>158</v>
      </c>
      <c r="E60" s="2">
        <v>462</v>
      </c>
      <c r="F60" s="4" t="s">
        <v>180</v>
      </c>
      <c r="G60" s="15">
        <v>117</v>
      </c>
      <c r="H60" s="15">
        <v>115</v>
      </c>
      <c r="I60" s="15">
        <v>115</v>
      </c>
      <c r="J60" s="15">
        <v>115</v>
      </c>
      <c r="K60" s="15">
        <f t="shared" si="11"/>
        <v>462</v>
      </c>
      <c r="L60" s="8">
        <f t="shared" si="5"/>
        <v>3.4618913142054355E-3</v>
      </c>
      <c r="N60" s="36">
        <f t="shared" si="12"/>
        <v>462</v>
      </c>
    </row>
    <row r="61" spans="1:18" s="5" customFormat="1" ht="28" hidden="1" x14ac:dyDescent="0.2">
      <c r="A61" s="46"/>
      <c r="B61" s="37" t="s">
        <v>140</v>
      </c>
      <c r="C61" s="37" t="s">
        <v>88</v>
      </c>
      <c r="D61" s="37" t="s">
        <v>158</v>
      </c>
      <c r="E61" s="2">
        <v>378</v>
      </c>
      <c r="F61" s="4" t="s">
        <v>69</v>
      </c>
      <c r="G61" s="15">
        <v>96</v>
      </c>
      <c r="H61" s="15">
        <v>94</v>
      </c>
      <c r="I61" s="15">
        <v>94</v>
      </c>
      <c r="J61" s="15">
        <v>94</v>
      </c>
      <c r="K61" s="15">
        <f t="shared" si="11"/>
        <v>378</v>
      </c>
      <c r="L61" s="8">
        <f t="shared" si="5"/>
        <v>2.832456529804447E-3</v>
      </c>
      <c r="N61" s="36">
        <f t="shared" si="12"/>
        <v>378</v>
      </c>
    </row>
    <row r="62" spans="1:18" s="5" customFormat="1" ht="28" hidden="1" x14ac:dyDescent="0.2">
      <c r="A62" s="46"/>
      <c r="B62" s="37" t="s">
        <v>140</v>
      </c>
      <c r="C62" s="37" t="s">
        <v>88</v>
      </c>
      <c r="D62" s="37" t="s">
        <v>158</v>
      </c>
      <c r="E62" s="2">
        <v>2596</v>
      </c>
      <c r="F62" s="4" t="s">
        <v>181</v>
      </c>
      <c r="G62" s="15">
        <f>649-66</f>
        <v>583</v>
      </c>
      <c r="H62" s="15">
        <f>649-159</f>
        <v>490</v>
      </c>
      <c r="I62" s="15">
        <f>649+125</f>
        <v>774</v>
      </c>
      <c r="J62" s="15">
        <f>649+100</f>
        <v>749</v>
      </c>
      <c r="K62" s="15">
        <f t="shared" si="11"/>
        <v>2596</v>
      </c>
      <c r="L62" s="8">
        <f t="shared" si="5"/>
        <v>1.9452532146487685E-2</v>
      </c>
      <c r="N62" s="36">
        <f t="shared" si="12"/>
        <v>2596</v>
      </c>
    </row>
    <row r="63" spans="1:18" s="5" customFormat="1" ht="75.75" hidden="1" customHeight="1" x14ac:dyDescent="0.2">
      <c r="A63" s="46"/>
      <c r="B63" s="37" t="s">
        <v>141</v>
      </c>
      <c r="C63" s="37" t="s">
        <v>132</v>
      </c>
      <c r="D63" s="37" t="s">
        <v>12</v>
      </c>
      <c r="E63" s="37">
        <v>1263</v>
      </c>
      <c r="F63" s="3" t="s">
        <v>70</v>
      </c>
      <c r="G63" s="2">
        <v>316</v>
      </c>
      <c r="H63" s="2">
        <v>315</v>
      </c>
      <c r="I63" s="13">
        <v>315.02499999999998</v>
      </c>
      <c r="J63" s="2">
        <v>317</v>
      </c>
      <c r="K63" s="2">
        <f t="shared" si="11"/>
        <v>1263</v>
      </c>
      <c r="L63" s="8">
        <f t="shared" si="5"/>
        <v>9.46400157974343E-3</v>
      </c>
      <c r="N63" s="36">
        <f t="shared" si="12"/>
        <v>1263.03</v>
      </c>
      <c r="R63" s="38"/>
    </row>
    <row r="64" spans="1:18" s="5" customFormat="1" ht="109.5" hidden="1" customHeight="1" x14ac:dyDescent="0.2">
      <c r="A64" s="46"/>
      <c r="B64" s="37" t="s">
        <v>141</v>
      </c>
      <c r="C64" s="37" t="s">
        <v>132</v>
      </c>
      <c r="D64" s="37" t="s">
        <v>13</v>
      </c>
      <c r="E64" s="37">
        <v>2227</v>
      </c>
      <c r="F64" s="3" t="s">
        <v>178</v>
      </c>
      <c r="G64" s="13">
        <f>556-66.89</f>
        <v>489.11</v>
      </c>
      <c r="H64" s="13">
        <f>556-23.99</f>
        <v>532.01</v>
      </c>
      <c r="I64" s="13">
        <f>557+23.87</f>
        <v>580.87</v>
      </c>
      <c r="J64" s="13">
        <f>558+66.67</f>
        <v>624.66999999999996</v>
      </c>
      <c r="K64" s="2">
        <f t="shared" si="11"/>
        <v>2227</v>
      </c>
      <c r="L64" s="8">
        <f t="shared" si="5"/>
        <v>1.6687515057869057E-2</v>
      </c>
      <c r="N64" s="36">
        <f t="shared" si="12"/>
        <v>2226.66</v>
      </c>
    </row>
    <row r="65" spans="1:14" s="5" customFormat="1" ht="33.75" hidden="1" customHeight="1" x14ac:dyDescent="0.2">
      <c r="A65" s="39" t="s">
        <v>133</v>
      </c>
      <c r="B65" s="39" t="s">
        <v>139</v>
      </c>
      <c r="C65" s="39" t="s">
        <v>134</v>
      </c>
      <c r="D65" s="39" t="s">
        <v>135</v>
      </c>
      <c r="E65" s="40">
        <v>3389</v>
      </c>
      <c r="F65" s="41" t="s">
        <v>71</v>
      </c>
      <c r="G65" s="42">
        <v>811.5</v>
      </c>
      <c r="H65" s="43">
        <v>863</v>
      </c>
      <c r="I65" s="42">
        <v>896.5</v>
      </c>
      <c r="J65" s="43">
        <v>816.5</v>
      </c>
      <c r="K65" s="40">
        <f t="shared" si="11"/>
        <v>3388</v>
      </c>
      <c r="L65" s="44">
        <f t="shared" si="5"/>
        <v>2.5387202970839861E-2</v>
      </c>
      <c r="N65" s="36">
        <f t="shared" si="12"/>
        <v>3387.5</v>
      </c>
    </row>
    <row r="66" spans="1:14" s="5" customFormat="1" hidden="1" x14ac:dyDescent="0.2">
      <c r="A66" s="46" t="s">
        <v>72</v>
      </c>
      <c r="B66" s="37" t="s">
        <v>139</v>
      </c>
      <c r="C66" s="37" t="s">
        <v>72</v>
      </c>
      <c r="D66" s="37" t="s">
        <v>136</v>
      </c>
      <c r="E66" s="2">
        <v>16253</v>
      </c>
      <c r="F66" s="4" t="s">
        <v>73</v>
      </c>
      <c r="G66" s="2">
        <f>3906+15</f>
        <v>3921</v>
      </c>
      <c r="H66" s="13">
        <f>4011+23</f>
        <v>4034</v>
      </c>
      <c r="I66" s="13">
        <f>4114+28</f>
        <v>4142</v>
      </c>
      <c r="J66" s="13">
        <f>4222+34</f>
        <v>4256</v>
      </c>
      <c r="K66" s="2">
        <f t="shared" si="11"/>
        <v>16353</v>
      </c>
      <c r="L66" s="8">
        <f t="shared" si="5"/>
        <v>0.12253746463463525</v>
      </c>
      <c r="N66" s="36">
        <f t="shared" si="12"/>
        <v>16353</v>
      </c>
    </row>
    <row r="67" spans="1:14" s="5" customFormat="1" ht="28" hidden="1" x14ac:dyDescent="0.2">
      <c r="A67" s="46"/>
      <c r="B67" s="37" t="s">
        <v>139</v>
      </c>
      <c r="C67" s="37" t="s">
        <v>137</v>
      </c>
      <c r="D67" s="37" t="s">
        <v>137</v>
      </c>
      <c r="E67" s="2">
        <v>0</v>
      </c>
      <c r="F67" s="4" t="s">
        <v>179</v>
      </c>
      <c r="G67" s="2">
        <v>0</v>
      </c>
      <c r="H67" s="2">
        <v>0</v>
      </c>
      <c r="I67" s="2">
        <v>0</v>
      </c>
      <c r="J67" s="2">
        <v>0</v>
      </c>
      <c r="K67" s="2">
        <f>ROUND(SUM(G67:J67),0)</f>
        <v>0</v>
      </c>
      <c r="L67" s="8">
        <f t="shared" ref="L67:L68" si="13">+K67/$K$72</f>
        <v>0</v>
      </c>
      <c r="N67" s="36"/>
    </row>
    <row r="68" spans="1:14" s="5" customFormat="1" ht="56" hidden="1" x14ac:dyDescent="0.2">
      <c r="A68" s="46"/>
      <c r="B68" s="37" t="s">
        <v>141</v>
      </c>
      <c r="C68" s="37" t="s">
        <v>130</v>
      </c>
      <c r="D68" s="37" t="s">
        <v>129</v>
      </c>
      <c r="E68" s="2">
        <v>100</v>
      </c>
      <c r="F68" s="4" t="s">
        <v>65</v>
      </c>
      <c r="G68" s="2">
        <v>34</v>
      </c>
      <c r="H68" s="2">
        <v>41</v>
      </c>
      <c r="I68" s="2">
        <v>48</v>
      </c>
      <c r="J68" s="2">
        <v>53</v>
      </c>
      <c r="K68" s="2">
        <f>ROUND(SUM(G68:J68),0)</f>
        <v>176</v>
      </c>
      <c r="L68" s="8">
        <f t="shared" si="13"/>
        <v>1.3188157387449277E-3</v>
      </c>
      <c r="N68" s="12"/>
    </row>
    <row r="69" spans="1:14" s="5" customFormat="1" hidden="1" x14ac:dyDescent="0.2">
      <c r="A69" s="19" t="s">
        <v>74</v>
      </c>
      <c r="B69" s="19" t="s">
        <v>74</v>
      </c>
      <c r="C69" s="19" t="s">
        <v>74</v>
      </c>
      <c r="D69" s="19" t="s">
        <v>74</v>
      </c>
      <c r="E69" s="19" t="s">
        <v>159</v>
      </c>
      <c r="F69" s="19" t="s">
        <v>74</v>
      </c>
      <c r="G69" s="20">
        <f>+SUM(G58+G54+G44+G32+G3)</f>
        <v>31841.73675</v>
      </c>
      <c r="H69" s="20">
        <f>+SUM(H58+H54+H44+H32+H3)</f>
        <v>32819.503600000004</v>
      </c>
      <c r="I69" s="20">
        <f>+SUM(I58+I54+I44+I32+I3)</f>
        <v>33857.356079999998</v>
      </c>
      <c r="J69" s="20">
        <f>+SUM(J58+J54+J44+J32+J3)</f>
        <v>34932.820899999999</v>
      </c>
      <c r="K69" s="20">
        <f>ROUND(+SUM(K58+K54+K44+K32+K3),0)</f>
        <v>133453</v>
      </c>
      <c r="L69" s="8">
        <f t="shared" ref="L69" si="14">+K69/$K$72</f>
        <v>0.9999995271745844</v>
      </c>
    </row>
    <row r="70" spans="1:14" s="5" customFormat="1" x14ac:dyDescent="0.2">
      <c r="E70" s="6"/>
    </row>
    <row r="71" spans="1:14" s="5" customFormat="1" ht="34.5" customHeight="1" x14ac:dyDescent="0.2">
      <c r="E71" s="6"/>
      <c r="G71" s="21">
        <v>2021</v>
      </c>
      <c r="H71" s="21">
        <v>2022</v>
      </c>
      <c r="I71" s="21">
        <v>2023</v>
      </c>
      <c r="J71" s="21">
        <v>2024</v>
      </c>
      <c r="K71" s="21" t="s">
        <v>8</v>
      </c>
      <c r="M71" s="35">
        <f>+ROUND(K69,0)</f>
        <v>133453</v>
      </c>
    </row>
    <row r="72" spans="1:14" s="5" customFormat="1" ht="19" x14ac:dyDescent="0.2">
      <c r="E72" s="6"/>
      <c r="F72" s="18" t="s">
        <v>75</v>
      </c>
      <c r="G72" s="22">
        <v>31842.253500000003</v>
      </c>
      <c r="H72" s="22">
        <v>32820.1872</v>
      </c>
      <c r="I72" s="22">
        <v>33857.320700000004</v>
      </c>
      <c r="J72" s="22">
        <v>34933.301700000004</v>
      </c>
      <c r="K72" s="23">
        <f>+SUM(G72:J72)</f>
        <v>133453.06310000003</v>
      </c>
    </row>
    <row r="73" spans="1:14" s="5" customFormat="1" ht="16" x14ac:dyDescent="0.2">
      <c r="D73" s="5" t="s">
        <v>143</v>
      </c>
      <c r="E73" s="6"/>
      <c r="F73" s="5" t="s">
        <v>143</v>
      </c>
      <c r="G73" s="24">
        <f>G4+G5+G6+G20+G21+G65+G66+G67</f>
        <v>14328.5</v>
      </c>
      <c r="H73" s="24">
        <f>H4+H5+H6+H20+H21+H65+H66+H67</f>
        <v>14769.4</v>
      </c>
      <c r="I73" s="24">
        <f>I4+I5+I6+I20+I21+I65+I66+I67</f>
        <v>15234.800729999999</v>
      </c>
      <c r="J73" s="24">
        <f>J4+J5+J6+J20+J21+J65+J66+J67</f>
        <v>15719.5</v>
      </c>
      <c r="K73" s="24">
        <f>K4+K5+K6+K20+K21+K65+K66+K67</f>
        <v>60053</v>
      </c>
    </row>
    <row r="74" spans="1:14" s="5" customFormat="1" x14ac:dyDescent="0.2">
      <c r="D74" s="5" t="s">
        <v>4</v>
      </c>
      <c r="E74" s="6"/>
      <c r="F74" s="5" t="s">
        <v>4</v>
      </c>
      <c r="G74" s="7">
        <f>G72*0.45</f>
        <v>14329.014075000001</v>
      </c>
      <c r="H74" s="7">
        <f t="shared" ref="H74:J74" si="15">H72*0.45</f>
        <v>14769.08424</v>
      </c>
      <c r="I74" s="7">
        <f t="shared" si="15"/>
        <v>15235.794315000003</v>
      </c>
      <c r="J74" s="7">
        <f t="shared" si="15"/>
        <v>15719.985765000001</v>
      </c>
      <c r="K74" s="7">
        <f>K72*0.45</f>
        <v>60053.878395000014</v>
      </c>
      <c r="L74" s="5">
        <v>45</v>
      </c>
      <c r="M74" s="12"/>
    </row>
    <row r="75" spans="1:14" s="5" customFormat="1" x14ac:dyDescent="0.2">
      <c r="D75" s="5" t="s">
        <v>145</v>
      </c>
      <c r="E75" s="6"/>
      <c r="F75" s="5" t="s">
        <v>145</v>
      </c>
      <c r="G75" s="14">
        <f>G73/G72</f>
        <v>0.44998385557102605</v>
      </c>
      <c r="H75" s="14">
        <f t="shared" ref="H75:J75" si="16">H73/H72</f>
        <v>0.45000962090795144</v>
      </c>
      <c r="I75" s="14">
        <f>I73/I72</f>
        <v>0.44997065376174311</v>
      </c>
      <c r="J75" s="14">
        <f t="shared" si="16"/>
        <v>0.44998609450076682</v>
      </c>
      <c r="K75" s="14">
        <f>K73/K72</f>
        <v>0.44999341794800651</v>
      </c>
      <c r="M75" s="12"/>
    </row>
    <row r="76" spans="1:14" s="5" customFormat="1" x14ac:dyDescent="0.2">
      <c r="D76" s="5" t="s">
        <v>144</v>
      </c>
      <c r="E76" s="6"/>
      <c r="F76" s="5" t="s">
        <v>144</v>
      </c>
      <c r="G76" s="7">
        <f>G74-G73</f>
        <v>0.51407500000095752</v>
      </c>
      <c r="H76" s="7">
        <f t="shared" ref="H76:K76" si="17">H74-H73</f>
        <v>-0.3157599999995</v>
      </c>
      <c r="I76" s="7">
        <f t="shared" si="17"/>
        <v>0.99358500000380445</v>
      </c>
      <c r="J76" s="7">
        <f t="shared" si="17"/>
        <v>0.48576500000126543</v>
      </c>
      <c r="K76" s="7">
        <f t="shared" si="17"/>
        <v>0.8783950000142795</v>
      </c>
      <c r="M76" s="12"/>
    </row>
    <row r="77" spans="1:14" s="5" customFormat="1" x14ac:dyDescent="0.2">
      <c r="D77" s="5" t="s">
        <v>143</v>
      </c>
      <c r="E77" s="6"/>
      <c r="F77" s="5" t="s">
        <v>143</v>
      </c>
      <c r="G77" s="7">
        <f>G7+G8+G9+G10+G11+G12+G19+G22+G23+G24+G25+G26+G27+G28+G29+G30+G31+G33+G34+G35+G36+G37+G38+G39+G40+G41+G42+G43+G45+G46+G47+G48+G49+G50+G51+G52+G53+G55+G56+G57+G59+G60+G61+G62</f>
        <v>15921.126749999999</v>
      </c>
      <c r="H77" s="7">
        <f>H7+H8+H9+H10+H11+H12+H19+H22+H23+H24+H25+H26+H27+H28+H29+H30+H31+H33+H34+H35+H36+H37+H38+H39+H40+H41+H42+H43+H45+H46+H47+H48+H49+H50+H51+H52+H53+H55+H56+H57+H59+H60+H61+H62</f>
        <v>16410.0936</v>
      </c>
      <c r="I77" s="7">
        <f>I7+I8+I9+I10+I11+I12+I19+I22+I23+I24+I25+I26+I27+I28+I29+I30+I31+I33+I34+I35+I36+I37+I38+I39+I40+I41+I42+I43+I45+I46+I47+I48+I49+I50+I51+I52+I53+I55+I56+I57+I59+I60+I61+I62</f>
        <v>16928.660349999998</v>
      </c>
      <c r="J77" s="7">
        <f>J7+J8+J9+J10+J11+J12+J19+J22+J23+J24+J25+J26+J27+J28+J29+J30+J31+J33+J34+J35+J36+J37+J38+J39+J40+J41+J42+J43+J45+J46+J47+J48+J49+J50+J51+J52+J53+J55+J56+J57+J59+J60+J61+J62</f>
        <v>17466.650900000001</v>
      </c>
      <c r="K77" s="7">
        <f>K7+K8+K9+K10+K11+K12+K19+K22+K23+K24+K25+K26+K27+K28+K29+K30+K31+K33+K34+K35+K36+K37+K38+K39+K40+K41+K42+K43+K45+K46+K47+K48+K49+K50+K51+K52+K53+K55+K56+K57+K59+K60+K61+K62</f>
        <v>66727</v>
      </c>
      <c r="L77" s="5">
        <v>50</v>
      </c>
    </row>
    <row r="78" spans="1:14" s="5" customFormat="1" x14ac:dyDescent="0.2">
      <c r="D78" s="5" t="s">
        <v>4</v>
      </c>
      <c r="E78" s="6"/>
      <c r="F78" s="5" t="s">
        <v>4</v>
      </c>
      <c r="G78" s="7">
        <f>G72*0.5</f>
        <v>15921.126750000001</v>
      </c>
      <c r="H78" s="7">
        <f t="shared" ref="H78:J78" si="18">H72*0.5</f>
        <v>16410.0936</v>
      </c>
      <c r="I78" s="7">
        <f t="shared" si="18"/>
        <v>16928.660350000002</v>
      </c>
      <c r="J78" s="7">
        <f t="shared" si="18"/>
        <v>17466.650850000002</v>
      </c>
      <c r="K78" s="7">
        <f>K72*0.5</f>
        <v>66726.531550000014</v>
      </c>
      <c r="N78" s="7"/>
    </row>
    <row r="79" spans="1:14" s="5" customFormat="1" x14ac:dyDescent="0.2">
      <c r="D79" s="5" t="s">
        <v>145</v>
      </c>
      <c r="E79" s="6"/>
      <c r="F79" s="5" t="s">
        <v>145</v>
      </c>
      <c r="G79" s="14">
        <f>G77/G72</f>
        <v>0.49999999999999994</v>
      </c>
      <c r="H79" s="14">
        <f t="shared" ref="H79:J79" si="19">H77/H72</f>
        <v>0.5</v>
      </c>
      <c r="I79" s="14">
        <f t="shared" si="19"/>
        <v>0.49999999999999989</v>
      </c>
      <c r="J79" s="14">
        <f t="shared" si="19"/>
        <v>0.50000000143129897</v>
      </c>
      <c r="K79" s="14">
        <f>K77/K72</f>
        <v>0.50000351022291356</v>
      </c>
    </row>
    <row r="80" spans="1:14" s="5" customFormat="1" x14ac:dyDescent="0.2">
      <c r="D80" s="5" t="s">
        <v>144</v>
      </c>
      <c r="E80" s="6"/>
      <c r="F80" s="5" t="s">
        <v>144</v>
      </c>
      <c r="G80" s="5">
        <f>G78-G77</f>
        <v>0</v>
      </c>
      <c r="H80" s="5">
        <f t="shared" ref="H80:I80" si="20">H78-H77</f>
        <v>0</v>
      </c>
      <c r="I80" s="5">
        <f t="shared" si="20"/>
        <v>0</v>
      </c>
      <c r="J80" s="7">
        <f>J78-J77</f>
        <v>-4.9999998736893758E-5</v>
      </c>
      <c r="K80" s="7">
        <f>K78-K77</f>
        <v>-0.46844999998575076</v>
      </c>
    </row>
    <row r="81" spans="4:12" s="5" customFormat="1" x14ac:dyDescent="0.2">
      <c r="D81" s="5" t="s">
        <v>143</v>
      </c>
      <c r="E81" s="6"/>
      <c r="F81" s="5" t="s">
        <v>143</v>
      </c>
      <c r="G81" s="7">
        <f>G64+G63+G68+G18+G17+G16+G15+G14+G13</f>
        <v>1592.1100000000001</v>
      </c>
      <c r="H81" s="7">
        <f>H64+H63+H68+H18+H17+H16+H15+H14+H13</f>
        <v>1640.01</v>
      </c>
      <c r="I81" s="7">
        <f>I64+I63+I68+I18+I17+I16+I15+I14+I13</f>
        <v>1693.895</v>
      </c>
      <c r="J81" s="7">
        <f>J64+J63+J68+J18+J17+J16+J15+J14+J13</f>
        <v>1746.67</v>
      </c>
      <c r="K81" s="7">
        <f>K64+K63+K68+K18+K17+K16+K15+K14+K13</f>
        <v>6673</v>
      </c>
    </row>
    <row r="82" spans="4:12" s="5" customFormat="1" x14ac:dyDescent="0.2">
      <c r="D82" s="5" t="s">
        <v>4</v>
      </c>
      <c r="E82" s="6"/>
      <c r="F82" s="5" t="s">
        <v>4</v>
      </c>
      <c r="G82" s="7">
        <f>G72*0.05</f>
        <v>1592.1126750000003</v>
      </c>
      <c r="H82" s="7">
        <f t="shared" ref="H82:J82" si="21">H72*0.05</f>
        <v>1641.00936</v>
      </c>
      <c r="I82" s="7">
        <f t="shared" si="21"/>
        <v>1692.8660350000002</v>
      </c>
      <c r="J82" s="7">
        <f t="shared" si="21"/>
        <v>1746.6650850000003</v>
      </c>
      <c r="K82" s="7">
        <f>K72*0.05</f>
        <v>6672.6531550000018</v>
      </c>
      <c r="L82" s="5">
        <v>5</v>
      </c>
    </row>
    <row r="83" spans="4:12" s="5" customFormat="1" x14ac:dyDescent="0.2">
      <c r="D83" s="5" t="s">
        <v>145</v>
      </c>
      <c r="E83" s="6"/>
      <c r="F83" s="5" t="s">
        <v>145</v>
      </c>
      <c r="G83" s="14">
        <f t="shared" ref="G83:J83" si="22">G81/G72</f>
        <v>4.9999915992126623E-2</v>
      </c>
      <c r="H83" s="14">
        <f t="shared" si="22"/>
        <v>4.9969550447902383E-2</v>
      </c>
      <c r="I83" s="14">
        <f t="shared" si="22"/>
        <v>5.0030391211670799E-2</v>
      </c>
      <c r="J83" s="14">
        <f t="shared" si="22"/>
        <v>5.0000140696692286E-2</v>
      </c>
      <c r="K83" s="14">
        <f>K81/K72</f>
        <v>5.0002599003664223E-2</v>
      </c>
    </row>
    <row r="84" spans="4:12" s="5" customFormat="1" x14ac:dyDescent="0.2">
      <c r="D84" s="5" t="s">
        <v>144</v>
      </c>
      <c r="E84" s="6"/>
      <c r="F84" s="5" t="s">
        <v>144</v>
      </c>
      <c r="G84" s="25">
        <f t="shared" ref="G84:J84" si="23">G82-G81</f>
        <v>2.6750000001811713E-3</v>
      </c>
      <c r="H84" s="25">
        <f t="shared" si="23"/>
        <v>0.99936000000002423</v>
      </c>
      <c r="I84" s="25">
        <f t="shared" si="23"/>
        <v>-1.0289649999997437</v>
      </c>
      <c r="J84" s="25">
        <f t="shared" si="23"/>
        <v>-4.9149999997553095E-3</v>
      </c>
      <c r="K84" s="25">
        <f>K82-K81</f>
        <v>-0.34684499999821128</v>
      </c>
    </row>
    <row r="85" spans="4:12" s="5" customFormat="1" x14ac:dyDescent="0.2">
      <c r="E85" s="6"/>
    </row>
    <row r="87" spans="4:12" x14ac:dyDescent="0.2">
      <c r="F87" s="53" t="s">
        <v>138</v>
      </c>
      <c r="G87" s="28">
        <v>2021</v>
      </c>
      <c r="H87" s="28">
        <v>2022</v>
      </c>
      <c r="I87" s="28">
        <v>2023</v>
      </c>
      <c r="J87" s="28">
        <v>2024</v>
      </c>
      <c r="K87" s="28" t="s">
        <v>8</v>
      </c>
    </row>
    <row r="88" spans="4:12" ht="19" x14ac:dyDescent="0.2">
      <c r="F88" s="53"/>
      <c r="G88" s="29">
        <v>31842.253500000003</v>
      </c>
      <c r="H88" s="29">
        <v>32820.1872</v>
      </c>
      <c r="I88" s="29">
        <v>33857.320700000004</v>
      </c>
      <c r="J88" s="29">
        <v>34933.301700000004</v>
      </c>
      <c r="K88" s="30">
        <f>+SUM(G88:J88)</f>
        <v>133453.06310000003</v>
      </c>
    </row>
    <row r="89" spans="4:12" x14ac:dyDescent="0.2">
      <c r="F89" s="27" t="s">
        <v>160</v>
      </c>
      <c r="G89" s="31">
        <f>+G88*45%</f>
        <v>14329.014075000001</v>
      </c>
      <c r="H89" s="31">
        <f>+H88*45%</f>
        <v>14769.08424</v>
      </c>
      <c r="I89" s="31">
        <f>+I88*45%</f>
        <v>15235.794315000003</v>
      </c>
      <c r="J89" s="31">
        <f t="shared" ref="J89:K89" si="24">+J88*45%</f>
        <v>15719.985765000001</v>
      </c>
      <c r="K89" s="31">
        <f t="shared" si="24"/>
        <v>60053.878395000014</v>
      </c>
    </row>
    <row r="90" spans="4:12" x14ac:dyDescent="0.2">
      <c r="F90" s="27" t="s">
        <v>161</v>
      </c>
      <c r="G90" s="31">
        <f>+G88*50%</f>
        <v>15921.126750000001</v>
      </c>
      <c r="H90" s="31">
        <f t="shared" ref="H90:K90" si="25">+H88*50%</f>
        <v>16410.0936</v>
      </c>
      <c r="I90" s="31">
        <f t="shared" si="25"/>
        <v>16928.660350000002</v>
      </c>
      <c r="J90" s="31">
        <f t="shared" si="25"/>
        <v>17466.650850000002</v>
      </c>
      <c r="K90" s="31">
        <f t="shared" si="25"/>
        <v>66726.531550000014</v>
      </c>
    </row>
    <row r="91" spans="4:12" x14ac:dyDescent="0.2">
      <c r="F91" s="27" t="s">
        <v>162</v>
      </c>
      <c r="G91" s="31">
        <f>+G88*5%</f>
        <v>1592.1126750000003</v>
      </c>
      <c r="H91" s="31">
        <f t="shared" ref="H91:K91" si="26">+H88*5%</f>
        <v>1641.00936</v>
      </c>
      <c r="I91" s="31">
        <f t="shared" si="26"/>
        <v>1692.8660350000002</v>
      </c>
      <c r="J91" s="31">
        <f t="shared" si="26"/>
        <v>1746.6650850000003</v>
      </c>
      <c r="K91" s="31">
        <f t="shared" si="26"/>
        <v>6672.6531550000018</v>
      </c>
    </row>
    <row r="93" spans="4:12" x14ac:dyDescent="0.2">
      <c r="G93" s="33">
        <f>+ROUND(I88,0)</f>
        <v>33857</v>
      </c>
      <c r="H93" s="34">
        <f>+ROUND(I69,0)</f>
        <v>33857</v>
      </c>
    </row>
  </sheetData>
  <autoFilter ref="A2:L69" xr:uid="{00000000-0009-0000-0000-000000000000}">
    <filterColumn colId="5">
      <filters>
        <filter val="Apoyar 600 predios rurales con asistencia técnica agropecuaria y/o ambiental."/>
      </filters>
    </filterColumn>
  </autoFilter>
  <mergeCells count="15">
    <mergeCell ref="A60:A64"/>
    <mergeCell ref="A66:A68"/>
    <mergeCell ref="F87:F88"/>
    <mergeCell ref="A35:A37"/>
    <mergeCell ref="A38:A39"/>
    <mergeCell ref="A42:A43"/>
    <mergeCell ref="A46:A47"/>
    <mergeCell ref="A50:A53"/>
    <mergeCell ref="A55:A57"/>
    <mergeCell ref="A26:A29"/>
    <mergeCell ref="G1:L1"/>
    <mergeCell ref="A4:A5"/>
    <mergeCell ref="A7:A17"/>
    <mergeCell ref="A20:A21"/>
    <mergeCell ref="A23:A25"/>
  </mergeCells>
  <conditionalFormatting sqref="G69">
    <cfRule type="cellIs" dxfId="3" priority="4" operator="greaterThan">
      <formula>31842</formula>
    </cfRule>
  </conditionalFormatting>
  <conditionalFormatting sqref="H69">
    <cfRule type="cellIs" dxfId="2" priority="3" operator="greaterThan">
      <formula>32820</formula>
    </cfRule>
  </conditionalFormatting>
  <conditionalFormatting sqref="J69">
    <cfRule type="cellIs" dxfId="1" priority="2" operator="greaterThan">
      <formula>34933</formula>
    </cfRule>
  </conditionalFormatting>
  <conditionalFormatting sqref="K69">
    <cfRule type="cellIs" dxfId="0" priority="1" operator="greaterThan">
      <formula>133453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PLURIANUAL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Andres Carvajal Zamora</dc:creator>
  <cp:lastModifiedBy>Microsoft Office User</cp:lastModifiedBy>
  <dcterms:created xsi:type="dcterms:W3CDTF">2020-08-27T17:30:31Z</dcterms:created>
  <dcterms:modified xsi:type="dcterms:W3CDTF">2021-03-24T20:00:03Z</dcterms:modified>
</cp:coreProperties>
</file>